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Cash Ratio Analysis/"/>
    </mc:Choice>
  </mc:AlternateContent>
  <xr:revisionPtr revIDLastSave="75" documentId="8_{E973B706-EAE2-40B7-AEA6-B604B421F205}" xr6:coauthVersionLast="45" xr6:coauthVersionMax="45" xr10:uidLastSave="{40F371E6-2B44-421A-9EA8-3016D9B8177E}"/>
  <bookViews>
    <workbookView xWindow="-120" yWindow="-120" windowWidth="29040" windowHeight="15990" xr2:uid="{39EA5DAC-F2AC-47D4-B474-1EB4EB2D22A4}"/>
  </bookViews>
  <sheets>
    <sheet name="CashRatio" sheetId="2" r:id="rId1"/>
    <sheet name="FY'16-20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5" i="2" l="1"/>
  <c r="F35" i="2"/>
  <c r="G35" i="2"/>
  <c r="H35" i="2"/>
  <c r="E36" i="2"/>
  <c r="F36" i="2"/>
  <c r="G36" i="2"/>
  <c r="H36" i="2"/>
  <c r="E31" i="2"/>
  <c r="F31" i="2"/>
  <c r="G31" i="2"/>
  <c r="H31" i="2"/>
  <c r="E32" i="2"/>
  <c r="F32" i="2"/>
  <c r="G32" i="2"/>
  <c r="H32" i="2"/>
  <c r="E33" i="2"/>
  <c r="F33" i="2"/>
  <c r="G33" i="2"/>
  <c r="H33" i="2"/>
  <c r="E34" i="2"/>
  <c r="F34" i="2"/>
  <c r="G34" i="2"/>
  <c r="H34" i="2"/>
  <c r="E30" i="2" l="1"/>
  <c r="F30" i="2"/>
  <c r="G30" i="2"/>
  <c r="H30" i="2"/>
  <c r="D30" i="2"/>
  <c r="D33" i="2"/>
  <c r="D32" i="2"/>
  <c r="D31" i="2"/>
  <c r="E8" i="2"/>
  <c r="F8" i="2"/>
  <c r="G8" i="2"/>
  <c r="H8" i="2"/>
  <c r="D8" i="2"/>
  <c r="D79" i="1" l="1"/>
  <c r="H39" i="1"/>
  <c r="E39" i="1"/>
  <c r="D39" i="1"/>
  <c r="H20" i="1"/>
  <c r="H21" i="1" s="1"/>
  <c r="G20" i="1"/>
  <c r="G21" i="1" s="1"/>
  <c r="G27" i="1" s="1"/>
  <c r="F20" i="1"/>
  <c r="F21" i="1" s="1"/>
  <c r="E20" i="1"/>
  <c r="E21" i="1" s="1"/>
  <c r="D20" i="1"/>
  <c r="D21" i="1" s="1"/>
  <c r="H15" i="1"/>
  <c r="H16" i="1" s="1"/>
  <c r="G15" i="1"/>
  <c r="G16" i="1" s="1"/>
  <c r="F15" i="1"/>
  <c r="F16" i="1" s="1"/>
  <c r="E15" i="1"/>
  <c r="E16" i="1" s="1"/>
  <c r="D15" i="1"/>
  <c r="D16" i="1" s="1"/>
  <c r="D60" i="1" l="1"/>
  <c r="F60" i="1"/>
  <c r="E27" i="1"/>
  <c r="E22" i="1"/>
  <c r="F27" i="1"/>
  <c r="F22" i="1"/>
  <c r="H47" i="1"/>
  <c r="H27" i="1"/>
  <c r="H22" i="1"/>
  <c r="H48" i="1"/>
  <c r="F39" i="1"/>
  <c r="E79" i="1"/>
  <c r="D27" i="1"/>
  <c r="D22" i="1"/>
  <c r="G31" i="1"/>
  <c r="G40" i="1" s="1"/>
  <c r="G28" i="1"/>
  <c r="D84" i="1"/>
  <c r="G39" i="1"/>
  <c r="E60" i="1"/>
  <c r="G22" i="1"/>
  <c r="D85" i="1" l="1"/>
  <c r="D9" i="2"/>
  <c r="D10" i="2" s="1"/>
  <c r="D34" i="2"/>
  <c r="G32" i="1"/>
  <c r="G60" i="1"/>
  <c r="H31" i="1"/>
  <c r="H40" i="1" s="1"/>
  <c r="H28" i="1"/>
  <c r="H49" i="1"/>
  <c r="F31" i="1"/>
  <c r="F40" i="1" s="1"/>
  <c r="F28" i="1"/>
  <c r="E84" i="1"/>
  <c r="D28" i="1"/>
  <c r="D31" i="1"/>
  <c r="D40" i="1" s="1"/>
  <c r="F79" i="1"/>
  <c r="E31" i="1"/>
  <c r="E40" i="1" s="1"/>
  <c r="E28" i="1"/>
  <c r="D35" i="2" l="1"/>
  <c r="D36" i="2"/>
  <c r="E85" i="1"/>
  <c r="E9" i="2"/>
  <c r="E10" i="2" s="1"/>
  <c r="D32" i="1"/>
  <c r="G48" i="1"/>
  <c r="G47" i="1"/>
  <c r="G49" i="1"/>
  <c r="H60" i="1"/>
  <c r="G42" i="1"/>
  <c r="G43" i="1" s="1"/>
  <c r="G44" i="1" s="1"/>
  <c r="E32" i="1"/>
  <c r="F32" i="1"/>
  <c r="G79" i="1"/>
  <c r="H32" i="1"/>
  <c r="H42" i="1" l="1"/>
  <c r="H43" i="1" s="1"/>
  <c r="H44" i="1" s="1"/>
  <c r="F84" i="1"/>
  <c r="F42" i="1"/>
  <c r="F43" i="1" s="1"/>
  <c r="F44" i="1" s="1"/>
  <c r="F47" i="1"/>
  <c r="F48" i="1"/>
  <c r="F49" i="1"/>
  <c r="E42" i="1"/>
  <c r="E43" i="1" s="1"/>
  <c r="E44" i="1" s="1"/>
  <c r="D42" i="1"/>
  <c r="D43" i="1" s="1"/>
  <c r="D44" i="1" s="1"/>
  <c r="F85" i="1" l="1"/>
  <c r="F9" i="2"/>
  <c r="F10" i="2" s="1"/>
  <c r="E47" i="1"/>
  <c r="E48" i="1"/>
  <c r="E49" i="1"/>
  <c r="G84" i="1"/>
  <c r="D47" i="1"/>
  <c r="D48" i="1"/>
  <c r="D49" i="1"/>
  <c r="H84" i="1"/>
  <c r="D75" i="1"/>
  <c r="D86" i="1" s="1"/>
  <c r="H79" i="1"/>
  <c r="D68" i="1"/>
  <c r="D69" i="1" s="1"/>
  <c r="H9" i="2" l="1"/>
  <c r="H10" i="2" s="1"/>
  <c r="G85" i="1"/>
  <c r="G9" i="2"/>
  <c r="G10" i="2" s="1"/>
  <c r="H85" i="1"/>
  <c r="D87" i="1"/>
  <c r="E75" i="1"/>
  <c r="E86" i="1" s="1"/>
  <c r="E68" i="1"/>
  <c r="E69" i="1" s="1"/>
  <c r="E87" i="1" l="1"/>
  <c r="F68" i="1"/>
  <c r="F69" i="1" s="1"/>
  <c r="F75" i="1"/>
  <c r="F86" i="1" s="1"/>
  <c r="F87" i="1" l="1"/>
  <c r="G75" i="1"/>
  <c r="G86" i="1" s="1"/>
  <c r="G68" i="1"/>
  <c r="G69" i="1" s="1"/>
  <c r="H68" i="1" l="1"/>
  <c r="H69" i="1" s="1"/>
  <c r="G87" i="1"/>
  <c r="H75" i="1" l="1"/>
  <c r="H86" i="1" s="1"/>
  <c r="H87" i="1" s="1"/>
</calcChain>
</file>

<file path=xl/sharedStrings.xml><?xml version="1.0" encoding="utf-8"?>
<sst xmlns="http://schemas.openxmlformats.org/spreadsheetml/2006/main" count="92" uniqueCount="86">
  <si>
    <t>FY 2016</t>
  </si>
  <si>
    <t>FY 2017</t>
  </si>
  <si>
    <t>FY 2018</t>
  </si>
  <si>
    <t>FY 2019</t>
  </si>
  <si>
    <t>Income Statement</t>
  </si>
  <si>
    <t>Sales, net of early payment bonuses</t>
  </si>
  <si>
    <t>Material Cost (BOM)</t>
  </si>
  <si>
    <t>Profit on BOM</t>
  </si>
  <si>
    <t>BOM Margin</t>
  </si>
  <si>
    <t>Production Staff Costs (in COGS)</t>
  </si>
  <si>
    <t>Other Production Costs</t>
  </si>
  <si>
    <t>Cost of Sales</t>
  </si>
  <si>
    <t>Gross profit</t>
  </si>
  <si>
    <t>Gross margin</t>
  </si>
  <si>
    <t>Administrative expenses</t>
  </si>
  <si>
    <t>Selling expenses</t>
  </si>
  <si>
    <t>Other operating income / (expense)</t>
  </si>
  <si>
    <t>EBITDA</t>
  </si>
  <si>
    <t>EBITDA margin</t>
  </si>
  <si>
    <t>Depreciation and amortization</t>
  </si>
  <si>
    <t>EBIT</t>
  </si>
  <si>
    <t>EBIT margin</t>
  </si>
  <si>
    <t>Non-operating expenses</t>
  </si>
  <si>
    <t>Non-operating income</t>
  </si>
  <si>
    <t>Interest expense</t>
  </si>
  <si>
    <t>Other finance income/(costs), net</t>
  </si>
  <si>
    <t>Total finance income/(costs), net</t>
  </si>
  <si>
    <t>Profit / (loss) before income tax</t>
  </si>
  <si>
    <t>Income tax (expense)</t>
  </si>
  <si>
    <t>Profit / (loss) for the period</t>
  </si>
  <si>
    <t>Profit margin</t>
  </si>
  <si>
    <t>Number of items sold (units)</t>
  </si>
  <si>
    <t>Average price per item</t>
  </si>
  <si>
    <t>Gross Profit per item</t>
  </si>
  <si>
    <t>EBITDA per item</t>
  </si>
  <si>
    <t>Balance Sheet</t>
  </si>
  <si>
    <t>ASSETS</t>
  </si>
  <si>
    <t>Non-current assets</t>
  </si>
  <si>
    <t>Property, plant and equipment</t>
  </si>
  <si>
    <t>Intangible assets</t>
  </si>
  <si>
    <t>Deferred tax asset</t>
  </si>
  <si>
    <t>Total non-current assets</t>
  </si>
  <si>
    <t>Current assets</t>
  </si>
  <si>
    <t>Raw materials</t>
  </si>
  <si>
    <t>Finished goods</t>
  </si>
  <si>
    <t>Trade receivables</t>
  </si>
  <si>
    <t>Intercompany receivables</t>
  </si>
  <si>
    <t>Other receivables</t>
  </si>
  <si>
    <t>Cash and cash equivalents</t>
  </si>
  <si>
    <t>Total current assets</t>
  </si>
  <si>
    <t>Total assets</t>
  </si>
  <si>
    <t>EQUITY</t>
  </si>
  <si>
    <t>Shareholder's equity</t>
  </si>
  <si>
    <t>Share capital</t>
  </si>
  <si>
    <t>Reserves</t>
  </si>
  <si>
    <t>Retained earnings</t>
  </si>
  <si>
    <t>Total equity</t>
  </si>
  <si>
    <t>LIABILITIES</t>
  </si>
  <si>
    <t>Non – current liabilities</t>
  </si>
  <si>
    <t>Bank debt</t>
  </si>
  <si>
    <t>Total non-current liabilities</t>
  </si>
  <si>
    <t>Current Liabilities</t>
  </si>
  <si>
    <t>Trade payables</t>
  </si>
  <si>
    <t>Other liabilities</t>
  </si>
  <si>
    <t>Total current liabilities</t>
  </si>
  <si>
    <t>Total liabilities</t>
  </si>
  <si>
    <t>Total liabilities and shareholders’ equity</t>
  </si>
  <si>
    <t>Check</t>
  </si>
  <si>
    <t>Financials Summary 2016 to 2020</t>
  </si>
  <si>
    <t>in EUR</t>
  </si>
  <si>
    <t>FY 2020</t>
  </si>
  <si>
    <t>Magnimetrics</t>
  </si>
  <si>
    <t>Metric</t>
  </si>
  <si>
    <t>FY2016</t>
  </si>
  <si>
    <t>FY2017</t>
  </si>
  <si>
    <t>FY2018</t>
  </si>
  <si>
    <t>FY2019</t>
  </si>
  <si>
    <t>FY2020</t>
  </si>
  <si>
    <t>Cash Ratio Analysis</t>
  </si>
  <si>
    <t>Cash Ratio</t>
  </si>
  <si>
    <t>Receivables</t>
  </si>
  <si>
    <t>Inventory</t>
  </si>
  <si>
    <t>Current liabilities</t>
  </si>
  <si>
    <t>Quick Ratio</t>
  </si>
  <si>
    <t>Current Ratio</t>
  </si>
  <si>
    <t>Reference Calculations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</si>
</sst>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_-;[Red]\(#,##0\)_-;_-* &quot;-&quot;??_-;_-@_-"/>
    <numFmt numFmtId="166" formatCode="0.0%"/>
    <numFmt numFmtId="167" formatCode="_-* #,##0_-;\-* #,##0_-;_-* &quot;-&quot;??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charset val="204"/>
      <scheme val="minor"/>
    </font>
    <font>
      <b/>
      <u/>
      <sz val="8"/>
      <color theme="10"/>
      <name val="Calibri"/>
      <family val="2"/>
      <scheme val="minor"/>
    </font>
    <font>
      <b/>
      <sz val="12"/>
      <color rgb="FF002060"/>
      <name val="Arial"/>
      <family val="2"/>
    </font>
    <font>
      <b/>
      <sz val="9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rgb="FF0070C0"/>
      <name val="Arial"/>
      <family val="2"/>
      <charset val="204"/>
    </font>
    <font>
      <i/>
      <sz val="8"/>
      <color theme="1"/>
      <name val="Arial"/>
      <family val="2"/>
      <charset val="204"/>
    </font>
    <font>
      <sz val="8"/>
      <color rgb="FF00B050"/>
      <name val="Arial"/>
      <family val="2"/>
      <charset val="204"/>
    </font>
    <font>
      <i/>
      <sz val="8"/>
      <color rgb="FFFF0000"/>
      <name val="Arial"/>
      <family val="2"/>
      <charset val="204"/>
    </font>
    <font>
      <sz val="8"/>
      <name val="Calibri"/>
      <family val="2"/>
      <charset val="204"/>
      <scheme val="minor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u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4" fillId="0" borderId="0" xfId="3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9" fillId="2" borderId="0" xfId="0" applyFont="1" applyFill="1"/>
    <xf numFmtId="0" fontId="10" fillId="2" borderId="0" xfId="0" applyFont="1" applyFill="1"/>
    <xf numFmtId="0" fontId="10" fillId="0" borderId="0" xfId="0" applyFont="1"/>
    <xf numFmtId="165" fontId="11" fillId="0" borderId="0" xfId="1" applyNumberFormat="1" applyFont="1"/>
    <xf numFmtId="165" fontId="10" fillId="0" borderId="0" xfId="1" applyNumberFormat="1" applyFont="1"/>
    <xf numFmtId="0" fontId="9" fillId="0" borderId="1" xfId="0" applyFont="1" applyBorder="1"/>
    <xf numFmtId="165" fontId="9" fillId="0" borderId="1" xfId="1" applyNumberFormat="1" applyFont="1" applyBorder="1"/>
    <xf numFmtId="0" fontId="12" fillId="0" borderId="2" xfId="0" applyFont="1" applyBorder="1"/>
    <xf numFmtId="166" fontId="12" fillId="0" borderId="2" xfId="2" applyNumberFormat="1" applyFont="1" applyBorder="1"/>
    <xf numFmtId="0" fontId="12" fillId="0" borderId="0" xfId="0" applyFont="1"/>
    <xf numFmtId="165" fontId="12" fillId="0" borderId="0" xfId="1" applyNumberFormat="1" applyFont="1" applyBorder="1"/>
    <xf numFmtId="0" fontId="10" fillId="0" borderId="1" xfId="0" applyFont="1" applyBorder="1"/>
    <xf numFmtId="165" fontId="10" fillId="0" borderId="1" xfId="1" applyNumberFormat="1" applyFont="1" applyBorder="1"/>
    <xf numFmtId="0" fontId="9" fillId="3" borderId="3" xfId="0" applyFont="1" applyFill="1" applyBorder="1"/>
    <xf numFmtId="165" fontId="9" fillId="3" borderId="3" xfId="1" applyNumberFormat="1" applyFont="1" applyFill="1" applyBorder="1"/>
    <xf numFmtId="0" fontId="12" fillId="0" borderId="4" xfId="0" applyFont="1" applyBorder="1"/>
    <xf numFmtId="0" fontId="9" fillId="0" borderId="3" xfId="0" applyFont="1" applyBorder="1"/>
    <xf numFmtId="165" fontId="9" fillId="0" borderId="3" xfId="1" applyNumberFormat="1" applyFont="1" applyBorder="1"/>
    <xf numFmtId="165" fontId="10" fillId="0" borderId="0" xfId="1" applyNumberFormat="1" applyFont="1" applyFill="1"/>
    <xf numFmtId="0" fontId="9" fillId="0" borderId="2" xfId="0" applyFont="1" applyBorder="1"/>
    <xf numFmtId="165" fontId="9" fillId="0" borderId="2" xfId="1" applyNumberFormat="1" applyFont="1" applyBorder="1"/>
    <xf numFmtId="0" fontId="12" fillId="0" borderId="5" xfId="0" applyFont="1" applyBorder="1"/>
    <xf numFmtId="167" fontId="10" fillId="0" borderId="0" xfId="1" applyNumberFormat="1" applyFont="1"/>
    <xf numFmtId="0" fontId="9" fillId="0" borderId="0" xfId="0" applyFont="1"/>
    <xf numFmtId="167" fontId="13" fillId="0" borderId="0" xfId="1" applyNumberFormat="1" applyFont="1"/>
    <xf numFmtId="167" fontId="9" fillId="0" borderId="1" xfId="1" applyNumberFormat="1" applyFont="1" applyBorder="1"/>
    <xf numFmtId="167" fontId="9" fillId="0" borderId="2" xfId="1" applyNumberFormat="1" applyFont="1" applyBorder="1"/>
    <xf numFmtId="167" fontId="9" fillId="0" borderId="0" xfId="1" applyNumberFormat="1" applyFont="1"/>
    <xf numFmtId="0" fontId="14" fillId="0" borderId="0" xfId="0" applyFont="1"/>
    <xf numFmtId="167" fontId="14" fillId="0" borderId="0" xfId="1" applyNumberFormat="1" applyFont="1"/>
    <xf numFmtId="167" fontId="10" fillId="0" borderId="0" xfId="0" applyNumberFormat="1" applyFont="1"/>
    <xf numFmtId="0" fontId="8" fillId="4" borderId="0" xfId="0" applyFont="1" applyFill="1"/>
    <xf numFmtId="0" fontId="8" fillId="4" borderId="0" xfId="0" applyFont="1" applyFill="1" applyAlignment="1">
      <alignment horizontal="center"/>
    </xf>
    <xf numFmtId="9" fontId="2" fillId="0" borderId="0" xfId="2" applyFont="1"/>
    <xf numFmtId="0" fontId="16" fillId="0" borderId="0" xfId="0" applyFont="1"/>
    <xf numFmtId="0" fontId="17" fillId="4" borderId="0" xfId="0" applyFont="1" applyFill="1"/>
    <xf numFmtId="0" fontId="16" fillId="3" borderId="1" xfId="0" applyFont="1" applyFill="1" applyBorder="1"/>
    <xf numFmtId="167" fontId="2" fillId="0" borderId="0" xfId="1" applyNumberFormat="1" applyFont="1"/>
    <xf numFmtId="164" fontId="16" fillId="3" borderId="1" xfId="1" applyFont="1" applyFill="1" applyBorder="1"/>
    <xf numFmtId="0" fontId="18" fillId="0" borderId="0" xfId="0" applyFont="1"/>
    <xf numFmtId="0" fontId="2" fillId="3" borderId="0" xfId="0" applyFont="1" applyFill="1"/>
    <xf numFmtId="164" fontId="2" fillId="3" borderId="0" xfId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CashRatio!$B$10</c:f>
              <c:strCache>
                <c:ptCount val="1"/>
                <c:pt idx="0">
                  <c:v>Cash Ratio</c:v>
                </c:pt>
              </c:strCache>
            </c:strRef>
          </c:tx>
          <c:spPr>
            <a:ln w="28575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>
                    <a:lumMod val="75000"/>
                  </a:schemeClr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CashRatio!$D$7:$H$7</c:f>
              <c:strCache>
                <c:ptCount val="5"/>
                <c:pt idx="0">
                  <c:v>FY2016</c:v>
                </c:pt>
                <c:pt idx="1">
                  <c:v>FY2017</c:v>
                </c:pt>
                <c:pt idx="2">
                  <c:v>FY2018</c:v>
                </c:pt>
                <c:pt idx="3">
                  <c:v>FY2019</c:v>
                </c:pt>
                <c:pt idx="4">
                  <c:v>FY2020</c:v>
                </c:pt>
              </c:strCache>
            </c:strRef>
          </c:cat>
          <c:val>
            <c:numRef>
              <c:f>CashRatio!$D$10:$H$10</c:f>
              <c:numCache>
                <c:formatCode>_-* #,##0.00_-;\-* #,##0.00_-;_-* "-"??_-;_-@_-</c:formatCode>
                <c:ptCount val="5"/>
                <c:pt idx="0">
                  <c:v>9.8312743364792066E-2</c:v>
                </c:pt>
                <c:pt idx="1">
                  <c:v>4.9441504899447777E-2</c:v>
                </c:pt>
                <c:pt idx="2">
                  <c:v>2.7098182508386161E-2</c:v>
                </c:pt>
                <c:pt idx="3">
                  <c:v>5.8082641069815012E-2</c:v>
                </c:pt>
                <c:pt idx="4">
                  <c:v>2.0261233661285162E-2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EF-4D31-8D8E-056981132B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3585887"/>
        <c:axId val="2039445583"/>
      </c:lineChart>
      <c:catAx>
        <c:axId val="2043585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39445583"/>
        <c:crosses val="autoZero"/>
        <c:auto val="1"/>
        <c:lblAlgn val="ctr"/>
        <c:lblOffset val="100"/>
        <c:noMultiLvlLbl val="0"/>
      </c:catAx>
      <c:valAx>
        <c:axId val="2039445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35858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11</xdr:row>
      <xdr:rowOff>23812</xdr:rowOff>
    </xdr:from>
    <xdr:to>
      <xdr:col>7</xdr:col>
      <xdr:colOff>857249</xdr:colOff>
      <xdr:row>27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77E21D1-A878-43C0-B2A3-F834735AD3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17116-B7B9-40ED-9D5D-2D9E7880BBB1}">
  <dimension ref="B2:H36"/>
  <sheetViews>
    <sheetView showGridLines="0" tabSelected="1" zoomScaleNormal="100" workbookViewId="0">
      <selection activeCell="K28" sqref="K28"/>
    </sheetView>
  </sheetViews>
  <sheetFormatPr defaultRowHeight="11.25" x14ac:dyDescent="0.2"/>
  <cols>
    <col min="1" max="1" width="2" style="1" customWidth="1"/>
    <col min="2" max="2" width="26.85546875" style="1" bestFit="1" customWidth="1"/>
    <col min="3" max="3" width="9.140625" style="1"/>
    <col min="4" max="8" width="12.85546875" style="1" bestFit="1" customWidth="1"/>
    <col min="9" max="16384" width="9.140625" style="1"/>
  </cols>
  <sheetData>
    <row r="2" spans="2:8" ht="15.75" x14ac:dyDescent="0.25">
      <c r="B2" s="3" t="s">
        <v>78</v>
      </c>
    </row>
    <row r="3" spans="2:8" ht="12" x14ac:dyDescent="0.2">
      <c r="B3" s="4" t="s">
        <v>71</v>
      </c>
    </row>
    <row r="5" spans="2:8" x14ac:dyDescent="0.2">
      <c r="B5" s="5" t="s">
        <v>69</v>
      </c>
    </row>
    <row r="6" spans="2:8" x14ac:dyDescent="0.2">
      <c r="D6" s="40"/>
    </row>
    <row r="7" spans="2:8" x14ac:dyDescent="0.2">
      <c r="B7" s="41" t="s">
        <v>72</v>
      </c>
      <c r="C7" s="41"/>
      <c r="D7" s="41" t="s">
        <v>73</v>
      </c>
      <c r="E7" s="41" t="s">
        <v>74</v>
      </c>
      <c r="F7" s="41" t="s">
        <v>75</v>
      </c>
      <c r="G7" s="41" t="s">
        <v>76</v>
      </c>
      <c r="H7" s="41" t="s">
        <v>77</v>
      </c>
    </row>
    <row r="8" spans="2:8" x14ac:dyDescent="0.2">
      <c r="B8" s="1" t="s">
        <v>48</v>
      </c>
      <c r="D8" s="43">
        <f>'FY''16-20'!D67</f>
        <v>15556225.497613929</v>
      </c>
      <c r="E8" s="43">
        <f>'FY''16-20'!E67</f>
        <v>9096312.9816845246</v>
      </c>
      <c r="F8" s="43">
        <f>'FY''16-20'!F67</f>
        <v>5908045.5262296274</v>
      </c>
      <c r="G8" s="43">
        <f>'FY''16-20'!G67</f>
        <v>11523958.44331478</v>
      </c>
      <c r="H8" s="43">
        <f>'FY''16-20'!H67</f>
        <v>4999999.5032974035</v>
      </c>
    </row>
    <row r="9" spans="2:8" x14ac:dyDescent="0.2">
      <c r="B9" s="1" t="s">
        <v>82</v>
      </c>
      <c r="D9" s="43">
        <f>'FY''16-20'!D84</f>
        <v>158232035.494037</v>
      </c>
      <c r="E9" s="43">
        <f>'FY''16-20'!E84</f>
        <v>183981312.87031522</v>
      </c>
      <c r="F9" s="43">
        <f>'FY''16-20'!F84</f>
        <v>218023682.00897774</v>
      </c>
      <c r="G9" s="43">
        <f>'FY''16-20'!G84</f>
        <v>198406240.3337177</v>
      </c>
      <c r="H9" s="43">
        <f>'FY''16-20'!H84</f>
        <v>246776656.68756002</v>
      </c>
    </row>
    <row r="10" spans="2:8" x14ac:dyDescent="0.2">
      <c r="B10" s="42" t="s">
        <v>79</v>
      </c>
      <c r="C10" s="42"/>
      <c r="D10" s="44">
        <f>D8/D9</f>
        <v>9.8312743364792066E-2</v>
      </c>
      <c r="E10" s="44">
        <f t="shared" ref="E10:H10" si="0">E8/E9</f>
        <v>4.9441504899447777E-2</v>
      </c>
      <c r="F10" s="44">
        <f t="shared" si="0"/>
        <v>2.7098182508386161E-2</v>
      </c>
      <c r="G10" s="44">
        <f t="shared" si="0"/>
        <v>5.8082641069815012E-2</v>
      </c>
      <c r="H10" s="44">
        <f t="shared" si="0"/>
        <v>2.0261233661285162E-2</v>
      </c>
    </row>
    <row r="30" spans="2:8" x14ac:dyDescent="0.2">
      <c r="B30" s="45" t="s">
        <v>85</v>
      </c>
      <c r="D30" s="40" t="str">
        <f>D7</f>
        <v>FY2016</v>
      </c>
      <c r="E30" s="40" t="str">
        <f t="shared" ref="E30:H30" si="1">E7</f>
        <v>FY2017</v>
      </c>
      <c r="F30" s="40" t="str">
        <f t="shared" si="1"/>
        <v>FY2018</v>
      </c>
      <c r="G30" s="40" t="str">
        <f t="shared" si="1"/>
        <v>FY2019</v>
      </c>
      <c r="H30" s="40" t="str">
        <f t="shared" si="1"/>
        <v>FY2020</v>
      </c>
    </row>
    <row r="31" spans="2:8" x14ac:dyDescent="0.2">
      <c r="B31" s="1" t="s">
        <v>48</v>
      </c>
      <c r="D31" s="43">
        <f>'FY''16-20'!D67</f>
        <v>15556225.497613929</v>
      </c>
      <c r="E31" s="43">
        <f>'FY''16-20'!E67</f>
        <v>9096312.9816845246</v>
      </c>
      <c r="F31" s="43">
        <f>'FY''16-20'!F67</f>
        <v>5908045.5262296274</v>
      </c>
      <c r="G31" s="43">
        <f>'FY''16-20'!G67</f>
        <v>11523958.44331478</v>
      </c>
      <c r="H31" s="43">
        <f>'FY''16-20'!H67</f>
        <v>4999999.5032974035</v>
      </c>
    </row>
    <row r="32" spans="2:8" x14ac:dyDescent="0.2">
      <c r="B32" s="1" t="s">
        <v>80</v>
      </c>
      <c r="D32" s="43">
        <f>'FY''16-20'!D64+'FY''16-20'!D65+'FY''16-20'!D66</f>
        <v>43466550.313173443</v>
      </c>
      <c r="E32" s="43">
        <f>'FY''16-20'!E64+'FY''16-20'!E65+'FY''16-20'!E66</f>
        <v>63497055.115517899</v>
      </c>
      <c r="F32" s="43">
        <f>'FY''16-20'!F64+'FY''16-20'!F65+'FY''16-20'!F66</f>
        <v>71208112.865188435</v>
      </c>
      <c r="G32" s="43">
        <f>'FY''16-20'!G64+'FY''16-20'!G65+'FY''16-20'!G66</f>
        <v>91151888.335575074</v>
      </c>
      <c r="H32" s="43">
        <f>'FY''16-20'!H64+'FY''16-20'!H65+'FY''16-20'!H66</f>
        <v>92238141.415513679</v>
      </c>
    </row>
    <row r="33" spans="2:8" x14ac:dyDescent="0.2">
      <c r="B33" s="1" t="s">
        <v>81</v>
      </c>
      <c r="D33" s="43">
        <f>'FY''16-20'!D62+'FY''16-20'!D63</f>
        <v>168203182.69530505</v>
      </c>
      <c r="E33" s="43">
        <f>'FY''16-20'!E62+'FY''16-20'!E63</f>
        <v>207659780.62517387</v>
      </c>
      <c r="F33" s="43">
        <f>'FY''16-20'!F62+'FY''16-20'!F63</f>
        <v>263034678.21713465</v>
      </c>
      <c r="G33" s="43">
        <f>'FY''16-20'!G62+'FY''16-20'!G63</f>
        <v>244716999.77066422</v>
      </c>
      <c r="H33" s="43">
        <f>'FY''16-20'!H62+'FY''16-20'!H63</f>
        <v>317999999.93312019</v>
      </c>
    </row>
    <row r="34" spans="2:8" x14ac:dyDescent="0.2">
      <c r="B34" s="1" t="s">
        <v>61</v>
      </c>
      <c r="D34" s="43">
        <f>'FY''16-20'!D84</f>
        <v>158232035.494037</v>
      </c>
      <c r="E34" s="43">
        <f>'FY''16-20'!E84</f>
        <v>183981312.87031522</v>
      </c>
      <c r="F34" s="43">
        <f>'FY''16-20'!F84</f>
        <v>218023682.00897774</v>
      </c>
      <c r="G34" s="43">
        <f>'FY''16-20'!G84</f>
        <v>198406240.3337177</v>
      </c>
      <c r="H34" s="43">
        <f>'FY''16-20'!H84</f>
        <v>246776656.68756002</v>
      </c>
    </row>
    <row r="35" spans="2:8" x14ac:dyDescent="0.2">
      <c r="B35" s="46" t="s">
        <v>83</v>
      </c>
      <c r="C35" s="46"/>
      <c r="D35" s="47">
        <f>(D31+D32)/D34</f>
        <v>0.37301407155955885</v>
      </c>
      <c r="E35" s="47">
        <f t="shared" ref="E35:H35" si="2">(E31+E32)/E34</f>
        <v>0.39456924708637148</v>
      </c>
      <c r="F35" s="47">
        <f t="shared" si="2"/>
        <v>0.35370542172681313</v>
      </c>
      <c r="G35" s="47">
        <f t="shared" si="2"/>
        <v>0.5175031118284884</v>
      </c>
      <c r="H35" s="47">
        <f t="shared" si="2"/>
        <v>0.39403297793244169</v>
      </c>
    </row>
    <row r="36" spans="2:8" x14ac:dyDescent="0.2">
      <c r="B36" s="46" t="s">
        <v>84</v>
      </c>
      <c r="C36" s="46"/>
      <c r="D36" s="47">
        <f>SUM(D31:D33)/D34</f>
        <v>1.4360300541962976</v>
      </c>
      <c r="E36" s="47">
        <f t="shared" ref="E36:H36" si="3">SUM(E31:E33)/E34</f>
        <v>1.5232696427159489</v>
      </c>
      <c r="F36" s="47">
        <f t="shared" si="3"/>
        <v>1.5601554540967069</v>
      </c>
      <c r="G36" s="47">
        <f t="shared" si="3"/>
        <v>1.7509169367114767</v>
      </c>
      <c r="H36" s="47">
        <f t="shared" si="3"/>
        <v>1.6826475665308069</v>
      </c>
    </row>
  </sheetData>
  <phoneticPr fontId="15" type="noConversion"/>
  <pageMargins left="0.7" right="0.7" top="0.75" bottom="0.75" header="0.3" footer="0.3"/>
  <pageSetup orientation="portrait" horizontalDpi="1200" verticalDpi="1200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xr2:uid="{384A54B7-CFA9-461E-B1F5-2025E755EF0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CashRatio!D35:H35</xm:f>
              <xm:sqref>C35</xm:sqref>
            </x14:sparkline>
          </x14:sparklines>
        </x14:sparklineGroup>
        <x14:sparklineGroup displayEmptyCellsAs="gap" xr2:uid="{DCFF763A-447A-48E2-9B66-E17A4E69456E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CashRatio!D36:H36</xm:f>
              <xm:sqref>C36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AB475-68DB-440D-A261-03C267A72F83}">
  <dimension ref="A1:L88"/>
  <sheetViews>
    <sheetView showGridLines="0" zoomScaleNormal="100" workbookViewId="0">
      <pane ySplit="7" topLeftCell="A47" activePane="bottomLeft" state="frozen"/>
      <selection pane="bottomLeft" activeCell="K21" sqref="K21"/>
    </sheetView>
  </sheetViews>
  <sheetFormatPr defaultRowHeight="11.25" x14ac:dyDescent="0.2"/>
  <cols>
    <col min="1" max="1" width="2" style="1" customWidth="1"/>
    <col min="2" max="2" width="36.5703125" style="1" customWidth="1"/>
    <col min="3" max="3" width="10.7109375" style="1" bestFit="1" customWidth="1"/>
    <col min="4" max="8" width="11.28515625" style="1" bestFit="1" customWidth="1"/>
    <col min="9" max="16384" width="9.140625" style="1"/>
  </cols>
  <sheetData>
    <row r="1" spans="1:8" x14ac:dyDescent="0.2">
      <c r="B1" s="2"/>
    </row>
    <row r="2" spans="1:8" ht="15.75" x14ac:dyDescent="0.25">
      <c r="B2" s="3" t="s">
        <v>68</v>
      </c>
    </row>
    <row r="3" spans="1:8" ht="12" x14ac:dyDescent="0.2">
      <c r="B3" s="4" t="s">
        <v>71</v>
      </c>
    </row>
    <row r="5" spans="1:8" x14ac:dyDescent="0.2">
      <c r="B5" s="5" t="s">
        <v>69</v>
      </c>
    </row>
    <row r="7" spans="1:8" x14ac:dyDescent="0.2">
      <c r="B7" s="37"/>
      <c r="C7" s="37"/>
      <c r="D7" s="38" t="s">
        <v>0</v>
      </c>
      <c r="E7" s="38" t="s">
        <v>1</v>
      </c>
      <c r="F7" s="38" t="s">
        <v>2</v>
      </c>
      <c r="G7" s="38" t="s">
        <v>3</v>
      </c>
      <c r="H7" s="38" t="s">
        <v>70</v>
      </c>
    </row>
    <row r="9" spans="1:8" x14ac:dyDescent="0.2">
      <c r="A9" s="6">
        <v>1</v>
      </c>
      <c r="B9" s="6" t="s">
        <v>4</v>
      </c>
      <c r="C9" s="7"/>
      <c r="D9" s="7"/>
      <c r="E9" s="7"/>
      <c r="F9" s="7"/>
      <c r="G9" s="7"/>
      <c r="H9" s="7"/>
    </row>
    <row r="10" spans="1:8" x14ac:dyDescent="0.2">
      <c r="A10" s="8"/>
      <c r="B10" s="8"/>
      <c r="C10" s="8"/>
      <c r="D10" s="8"/>
      <c r="E10" s="8"/>
      <c r="F10" s="8"/>
      <c r="G10" s="8"/>
      <c r="H10" s="8"/>
    </row>
    <row r="11" spans="1:8" x14ac:dyDescent="0.2">
      <c r="A11" s="8"/>
      <c r="B11" s="37"/>
      <c r="C11" s="37"/>
      <c r="D11" s="38">
        <v>1</v>
      </c>
      <c r="E11" s="38">
        <v>2</v>
      </c>
      <c r="F11" s="38">
        <v>3</v>
      </c>
      <c r="G11" s="38">
        <v>4</v>
      </c>
      <c r="H11" s="38">
        <v>5</v>
      </c>
    </row>
    <row r="12" spans="1:8" x14ac:dyDescent="0.2">
      <c r="A12" s="8"/>
      <c r="B12" s="8"/>
      <c r="C12" s="8"/>
      <c r="D12" s="8"/>
      <c r="E12" s="8"/>
      <c r="F12" s="8"/>
      <c r="G12" s="8"/>
      <c r="H12" s="8"/>
    </row>
    <row r="13" spans="1:8" x14ac:dyDescent="0.2">
      <c r="A13" s="8"/>
      <c r="B13" s="8" t="s">
        <v>5</v>
      </c>
      <c r="C13" s="8"/>
      <c r="D13" s="10">
        <v>394964586.94461733</v>
      </c>
      <c r="E13" s="10">
        <v>412737993.3571251</v>
      </c>
      <c r="F13" s="10">
        <v>511795111.76283514</v>
      </c>
      <c r="G13" s="10">
        <v>522031013.99809188</v>
      </c>
      <c r="H13" s="10">
        <v>631440631.59705567</v>
      </c>
    </row>
    <row r="14" spans="1:8" x14ac:dyDescent="0.2">
      <c r="A14" s="8"/>
      <c r="B14" s="8" t="s">
        <v>6</v>
      </c>
      <c r="C14" s="8"/>
      <c r="D14" s="10">
        <v>-304122731.94735533</v>
      </c>
      <c r="E14" s="10">
        <v>-319046468.86505771</v>
      </c>
      <c r="F14" s="10">
        <v>-403294548.06911409</v>
      </c>
      <c r="G14" s="10">
        <v>-415536687.14248115</v>
      </c>
      <c r="H14" s="10">
        <v>-480336073.18026501</v>
      </c>
    </row>
    <row r="15" spans="1:8" x14ac:dyDescent="0.2">
      <c r="A15" s="8"/>
      <c r="B15" s="11" t="s">
        <v>7</v>
      </c>
      <c r="C15" s="11"/>
      <c r="D15" s="12">
        <f>SUM(D13:D14)</f>
        <v>90841854.997262001</v>
      </c>
      <c r="E15" s="12">
        <f t="shared" ref="E15:H15" si="0">SUM(E13:E14)</f>
        <v>93691524.492067397</v>
      </c>
      <c r="F15" s="12">
        <f t="shared" si="0"/>
        <v>108500563.69372106</v>
      </c>
      <c r="G15" s="12">
        <f t="shared" si="0"/>
        <v>106494326.85561073</v>
      </c>
      <c r="H15" s="12">
        <f t="shared" si="0"/>
        <v>151104558.41679066</v>
      </c>
    </row>
    <row r="16" spans="1:8" ht="12" thickBot="1" x14ac:dyDescent="0.25">
      <c r="A16" s="8"/>
      <c r="B16" s="13" t="s">
        <v>8</v>
      </c>
      <c r="C16" s="13"/>
      <c r="D16" s="14">
        <f>D15/D13</f>
        <v>0.23000000000000004</v>
      </c>
      <c r="E16" s="14">
        <f t="shared" ref="E16:H16" si="1">E15/E13</f>
        <v>0.22700000000000001</v>
      </c>
      <c r="F16" s="14">
        <f t="shared" si="1"/>
        <v>0.21200000000000002</v>
      </c>
      <c r="G16" s="14">
        <f t="shared" si="1"/>
        <v>0.20399999999999996</v>
      </c>
      <c r="H16" s="14">
        <f t="shared" si="1"/>
        <v>0.23930129113581616</v>
      </c>
    </row>
    <row r="17" spans="1:12" ht="12" thickTop="1" x14ac:dyDescent="0.2">
      <c r="A17" s="8"/>
      <c r="B17" s="15"/>
      <c r="C17" s="15"/>
      <c r="D17" s="16"/>
      <c r="E17" s="16"/>
      <c r="F17" s="16"/>
      <c r="G17" s="16"/>
      <c r="H17" s="16"/>
    </row>
    <row r="18" spans="1:12" x14ac:dyDescent="0.2">
      <c r="A18" s="8"/>
      <c r="B18" s="8" t="s">
        <v>9</v>
      </c>
      <c r="C18" s="8"/>
      <c r="D18" s="10">
        <v>-22749960.208009958</v>
      </c>
      <c r="E18" s="10">
        <v>-21297280.457227655</v>
      </c>
      <c r="F18" s="10">
        <v>-28865244.3034239</v>
      </c>
      <c r="G18" s="10">
        <v>-23386989.427114516</v>
      </c>
      <c r="H18" s="10">
        <v>-38638432.829656005</v>
      </c>
    </row>
    <row r="19" spans="1:12" x14ac:dyDescent="0.2">
      <c r="A19" s="8"/>
      <c r="B19" s="8" t="s">
        <v>10</v>
      </c>
      <c r="C19" s="8"/>
      <c r="D19" s="10">
        <v>-3949645.8694461733</v>
      </c>
      <c r="E19" s="10">
        <v>-3384451.5455284263</v>
      </c>
      <c r="F19" s="10">
        <v>-7472208.6317373933</v>
      </c>
      <c r="G19" s="10">
        <v>-7517246.6015725229</v>
      </c>
      <c r="H19" s="10">
        <v>-8026341.1192039046</v>
      </c>
    </row>
    <row r="20" spans="1:12" x14ac:dyDescent="0.2">
      <c r="A20" s="8"/>
      <c r="B20" s="17" t="s">
        <v>11</v>
      </c>
      <c r="C20" s="17"/>
      <c r="D20" s="18">
        <f>D14+D18+D19</f>
        <v>-330822338.02481145</v>
      </c>
      <c r="E20" s="18">
        <f t="shared" ref="E20:H20" si="2">E14+E18+E19</f>
        <v>-343728200.86781377</v>
      </c>
      <c r="F20" s="18">
        <f t="shared" si="2"/>
        <v>-439632001.00427538</v>
      </c>
      <c r="G20" s="18">
        <f t="shared" si="2"/>
        <v>-446440923.17116821</v>
      </c>
      <c r="H20" s="18">
        <f t="shared" si="2"/>
        <v>-527000847.12912494</v>
      </c>
    </row>
    <row r="21" spans="1:12" x14ac:dyDescent="0.2">
      <c r="A21" s="8"/>
      <c r="B21" s="11" t="s">
        <v>12</v>
      </c>
      <c r="C21" s="11"/>
      <c r="D21" s="12">
        <f>D13+D20</f>
        <v>64142248.919805884</v>
      </c>
      <c r="E21" s="12">
        <f t="shared" ref="E21:H21" si="3">E13+E20</f>
        <v>69009792.489311337</v>
      </c>
      <c r="F21" s="12">
        <f t="shared" si="3"/>
        <v>72163110.758559763</v>
      </c>
      <c r="G21" s="12">
        <f t="shared" si="3"/>
        <v>75590090.826923668</v>
      </c>
      <c r="H21" s="12">
        <f t="shared" si="3"/>
        <v>104439784.46793073</v>
      </c>
    </row>
    <row r="22" spans="1:12" ht="12" thickBot="1" x14ac:dyDescent="0.25">
      <c r="A22" s="8"/>
      <c r="B22" s="13" t="s">
        <v>13</v>
      </c>
      <c r="C22" s="13"/>
      <c r="D22" s="14">
        <f>D21/D13</f>
        <v>0.16240000000000007</v>
      </c>
      <c r="E22" s="14">
        <f t="shared" ref="E22:H22" si="4">E21/E13</f>
        <v>0.16720000000000004</v>
      </c>
      <c r="F22" s="14">
        <f t="shared" si="4"/>
        <v>0.14100000000000001</v>
      </c>
      <c r="G22" s="14">
        <f t="shared" si="4"/>
        <v>0.14479999999999993</v>
      </c>
      <c r="H22" s="14">
        <f t="shared" si="4"/>
        <v>0.16539921449745637</v>
      </c>
    </row>
    <row r="23" spans="1:12" ht="12" thickTop="1" x14ac:dyDescent="0.2">
      <c r="A23" s="8"/>
      <c r="B23" s="8"/>
      <c r="C23" s="8"/>
      <c r="D23" s="10"/>
      <c r="E23" s="10"/>
      <c r="F23" s="10"/>
      <c r="G23" s="10"/>
      <c r="H23" s="10"/>
    </row>
    <row r="24" spans="1:12" x14ac:dyDescent="0.2">
      <c r="A24" s="8"/>
      <c r="B24" s="8" t="s">
        <v>14</v>
      </c>
      <c r="C24" s="8"/>
      <c r="D24" s="10">
        <v>-19590243.51245302</v>
      </c>
      <c r="E24" s="10">
        <v>-15271305.754213627</v>
      </c>
      <c r="F24" s="10">
        <v>-13613749.972891415</v>
      </c>
      <c r="G24" s="10">
        <v>-16339570.738140276</v>
      </c>
      <c r="H24" s="10">
        <v>-23544975.389750309</v>
      </c>
    </row>
    <row r="25" spans="1:12" x14ac:dyDescent="0.2">
      <c r="A25" s="8"/>
      <c r="B25" s="8" t="s">
        <v>15</v>
      </c>
      <c r="C25" s="8"/>
      <c r="D25" s="10">
        <v>-8570731.5366981961</v>
      </c>
      <c r="E25" s="10">
        <v>-9121509.6531924661</v>
      </c>
      <c r="F25" s="10">
        <v>-11259492.458782373</v>
      </c>
      <c r="G25" s="10">
        <v>-11484682.30795802</v>
      </c>
      <c r="H25" s="10">
        <v>-14695312.226016574</v>
      </c>
    </row>
    <row r="26" spans="1:12" x14ac:dyDescent="0.2">
      <c r="A26" s="8"/>
      <c r="B26" s="8" t="s">
        <v>16</v>
      </c>
      <c r="C26" s="8"/>
      <c r="D26" s="10">
        <v>-8333752.7845314257</v>
      </c>
      <c r="E26" s="10">
        <v>-9204057.2518638894</v>
      </c>
      <c r="F26" s="10">
        <v>-9877645.6570227183</v>
      </c>
      <c r="G26" s="10">
        <v>-8770121.0351679437</v>
      </c>
      <c r="H26" s="10">
        <v>-13639847.81199328</v>
      </c>
    </row>
    <row r="27" spans="1:12" ht="12" thickBot="1" x14ac:dyDescent="0.25">
      <c r="A27" s="8"/>
      <c r="B27" s="19" t="s">
        <v>17</v>
      </c>
      <c r="C27" s="19"/>
      <c r="D27" s="20">
        <f>D21+D24+D25+D26</f>
        <v>27647521.086123247</v>
      </c>
      <c r="E27" s="20">
        <f t="shared" ref="E27:H27" si="5">E21+E24+E25+E26</f>
        <v>35412919.830041349</v>
      </c>
      <c r="F27" s="20">
        <f t="shared" si="5"/>
        <v>37412222.669863254</v>
      </c>
      <c r="G27" s="20">
        <f t="shared" si="5"/>
        <v>38995716.745657429</v>
      </c>
      <c r="H27" s="20">
        <f t="shared" si="5"/>
        <v>52559649.04017058</v>
      </c>
    </row>
    <row r="28" spans="1:12" ht="12" thickBot="1" x14ac:dyDescent="0.25">
      <c r="A28" s="8"/>
      <c r="B28" s="21" t="s">
        <v>18</v>
      </c>
      <c r="C28" s="21"/>
      <c r="D28" s="14">
        <f>D27/D13</f>
        <v>7.000000000000009E-2</v>
      </c>
      <c r="E28" s="14">
        <f t="shared" ref="E28:H28" si="6">E27/E13</f>
        <v>8.5800000000000043E-2</v>
      </c>
      <c r="F28" s="14">
        <f t="shared" si="6"/>
        <v>7.3100000000000012E-2</v>
      </c>
      <c r="G28" s="14">
        <f t="shared" si="6"/>
        <v>7.4699999999999933E-2</v>
      </c>
      <c r="H28" s="14">
        <f t="shared" si="6"/>
        <v>8.3237673361683084E-2</v>
      </c>
    </row>
    <row r="29" spans="1:12" ht="12" thickTop="1" x14ac:dyDescent="0.2">
      <c r="A29" s="8"/>
      <c r="B29" s="8"/>
      <c r="C29" s="8"/>
      <c r="D29" s="10"/>
      <c r="E29" s="10"/>
      <c r="F29" s="10"/>
      <c r="G29" s="10"/>
      <c r="H29" s="10"/>
    </row>
    <row r="30" spans="1:12" x14ac:dyDescent="0.2">
      <c r="A30" s="8"/>
      <c r="B30" s="8" t="s">
        <v>19</v>
      </c>
      <c r="C30" s="8"/>
      <c r="D30" s="10">
        <v>-10861526.140976977</v>
      </c>
      <c r="E30" s="10">
        <v>-11804306.610013777</v>
      </c>
      <c r="F30" s="10">
        <v>-11668928.548192643</v>
      </c>
      <c r="G30" s="10">
        <v>-11797900.916356876</v>
      </c>
      <c r="H30" s="10">
        <v>-15986155.741663566</v>
      </c>
      <c r="I30" s="39"/>
      <c r="J30" s="39"/>
      <c r="K30" s="39"/>
      <c r="L30" s="39"/>
    </row>
    <row r="31" spans="1:12" ht="12" thickBot="1" x14ac:dyDescent="0.25">
      <c r="A31" s="8"/>
      <c r="B31" s="22" t="s">
        <v>20</v>
      </c>
      <c r="C31" s="22"/>
      <c r="D31" s="23">
        <f>D27+D30</f>
        <v>16785994.94514627</v>
      </c>
      <c r="E31" s="23">
        <f t="shared" ref="E31:H31" si="7">E27+E30</f>
        <v>23608613.220027573</v>
      </c>
      <c r="F31" s="23">
        <f t="shared" si="7"/>
        <v>25743294.121670611</v>
      </c>
      <c r="G31" s="23">
        <f t="shared" si="7"/>
        <v>27197815.829300553</v>
      </c>
      <c r="H31" s="23">
        <f t="shared" si="7"/>
        <v>36573493.298507012</v>
      </c>
    </row>
    <row r="32" spans="1:12" ht="12" thickBot="1" x14ac:dyDescent="0.25">
      <c r="A32" s="8"/>
      <c r="B32" s="21" t="s">
        <v>21</v>
      </c>
      <c r="C32" s="21"/>
      <c r="D32" s="14">
        <f>D31/D13</f>
        <v>4.2500000000000086E-2</v>
      </c>
      <c r="E32" s="14">
        <f t="shared" ref="E32:H32" si="8">E31/E13</f>
        <v>5.7200000000000042E-2</v>
      </c>
      <c r="F32" s="14">
        <f t="shared" si="8"/>
        <v>5.0300000000000004E-2</v>
      </c>
      <c r="G32" s="14">
        <f t="shared" si="8"/>
        <v>5.2099999999999938E-2</v>
      </c>
      <c r="H32" s="14">
        <f t="shared" si="8"/>
        <v>5.7920715691045101E-2</v>
      </c>
    </row>
    <row r="33" spans="1:8" ht="12" thickTop="1" x14ac:dyDescent="0.2">
      <c r="A33" s="8"/>
      <c r="B33" s="8"/>
      <c r="C33" s="8"/>
      <c r="D33" s="10"/>
      <c r="E33" s="10"/>
      <c r="F33" s="10"/>
      <c r="G33" s="10"/>
      <c r="H33" s="10"/>
    </row>
    <row r="34" spans="1:8" x14ac:dyDescent="0.2">
      <c r="A34" s="8"/>
      <c r="B34" s="8" t="s">
        <v>22</v>
      </c>
      <c r="C34" s="8"/>
      <c r="D34" s="10">
        <v>-671439.79780584946</v>
      </c>
      <c r="E34" s="10">
        <v>-619106.99003568769</v>
      </c>
      <c r="F34" s="10">
        <v>-972410.71234938677</v>
      </c>
      <c r="G34" s="10">
        <v>-1096265.129395993</v>
      </c>
      <c r="H34" s="10">
        <v>-1179790.0916356875</v>
      </c>
    </row>
    <row r="35" spans="1:8" x14ac:dyDescent="0.2">
      <c r="A35" s="8"/>
      <c r="B35" s="8" t="s">
        <v>23</v>
      </c>
      <c r="C35" s="8"/>
      <c r="D35" s="10"/>
      <c r="E35" s="10"/>
      <c r="F35" s="10"/>
      <c r="G35" s="10"/>
      <c r="H35" s="10"/>
    </row>
    <row r="36" spans="1:8" x14ac:dyDescent="0.2">
      <c r="A36" s="8"/>
      <c r="B36" s="8"/>
      <c r="C36" s="8"/>
      <c r="D36" s="10"/>
      <c r="E36" s="10"/>
      <c r="F36" s="10"/>
      <c r="G36" s="10"/>
      <c r="H36" s="10"/>
    </row>
    <row r="37" spans="1:8" x14ac:dyDescent="0.2">
      <c r="A37" s="8"/>
      <c r="B37" s="8" t="s">
        <v>24</v>
      </c>
      <c r="C37" s="8"/>
      <c r="D37" s="24">
        <v>-962500.00000000012</v>
      </c>
      <c r="E37" s="24">
        <v>-1067500</v>
      </c>
      <c r="F37" s="24">
        <v>-1172500</v>
      </c>
      <c r="G37" s="24">
        <v>-1260000.0000000002</v>
      </c>
      <c r="H37" s="24">
        <v>-1312500.0000000002</v>
      </c>
    </row>
    <row r="38" spans="1:8" x14ac:dyDescent="0.2">
      <c r="A38" s="8"/>
      <c r="B38" s="8" t="s">
        <v>25</v>
      </c>
      <c r="C38" s="8"/>
      <c r="D38" s="9"/>
      <c r="E38" s="9"/>
      <c r="F38" s="9"/>
      <c r="G38" s="9"/>
      <c r="H38" s="9"/>
    </row>
    <row r="39" spans="1:8" x14ac:dyDescent="0.2">
      <c r="A39" s="8"/>
      <c r="B39" s="17" t="s">
        <v>26</v>
      </c>
      <c r="C39" s="17"/>
      <c r="D39" s="18">
        <f t="shared" ref="D39" si="9">SUM(D37:D38)</f>
        <v>-962500.00000000012</v>
      </c>
      <c r="E39" s="18">
        <f t="shared" ref="E39:H39" si="10">SUM(E37:E38)</f>
        <v>-1067500</v>
      </c>
      <c r="F39" s="18">
        <f t="shared" si="10"/>
        <v>-1172500</v>
      </c>
      <c r="G39" s="18">
        <f t="shared" si="10"/>
        <v>-1260000.0000000002</v>
      </c>
      <c r="H39" s="18">
        <f t="shared" si="10"/>
        <v>-1312500.0000000002</v>
      </c>
    </row>
    <row r="40" spans="1:8" ht="12" thickBot="1" x14ac:dyDescent="0.25">
      <c r="A40" s="8"/>
      <c r="B40" s="25" t="s">
        <v>27</v>
      </c>
      <c r="C40" s="25"/>
      <c r="D40" s="26">
        <f>D31+D34+D35+D39</f>
        <v>15152055.147340421</v>
      </c>
      <c r="E40" s="26">
        <f t="shared" ref="E40:H40" si="11">E31+E34+E35+E39</f>
        <v>21922006.229991887</v>
      </c>
      <c r="F40" s="26">
        <f t="shared" si="11"/>
        <v>23598383.409321226</v>
      </c>
      <c r="G40" s="26">
        <f t="shared" si="11"/>
        <v>24841550.699904561</v>
      </c>
      <c r="H40" s="26">
        <f t="shared" si="11"/>
        <v>34081203.206871323</v>
      </c>
    </row>
    <row r="41" spans="1:8" ht="12" thickTop="1" x14ac:dyDescent="0.2">
      <c r="A41" s="8"/>
      <c r="B41" s="8"/>
      <c r="C41" s="8"/>
      <c r="D41" s="10"/>
      <c r="E41" s="10"/>
      <c r="F41" s="10"/>
      <c r="G41" s="10"/>
      <c r="H41" s="10"/>
    </row>
    <row r="42" spans="1:8" x14ac:dyDescent="0.2">
      <c r="A42" s="8"/>
      <c r="B42" s="8" t="s">
        <v>28</v>
      </c>
      <c r="C42" s="8"/>
      <c r="D42" s="10">
        <f>-10%*D40</f>
        <v>-1515205.5147340421</v>
      </c>
      <c r="E42" s="10">
        <f t="shared" ref="E42:H42" si="12">-10%*E40</f>
        <v>-2192200.622999189</v>
      </c>
      <c r="F42" s="10">
        <f t="shared" si="12"/>
        <v>-2359838.3409321229</v>
      </c>
      <c r="G42" s="10">
        <f t="shared" si="12"/>
        <v>-2484155.0699904561</v>
      </c>
      <c r="H42" s="10">
        <f t="shared" si="12"/>
        <v>-3408120.3206871324</v>
      </c>
    </row>
    <row r="43" spans="1:8" ht="12" thickBot="1" x14ac:dyDescent="0.25">
      <c r="A43" s="8"/>
      <c r="B43" s="25" t="s">
        <v>29</v>
      </c>
      <c r="C43" s="25"/>
      <c r="D43" s="26">
        <f>D40+D42</f>
        <v>13636849.632606378</v>
      </c>
      <c r="E43" s="26">
        <f t="shared" ref="E43:H43" si="13">E40+E42</f>
        <v>19729805.606992699</v>
      </c>
      <c r="F43" s="26">
        <f t="shared" si="13"/>
        <v>21238545.068389103</v>
      </c>
      <c r="G43" s="26">
        <f t="shared" si="13"/>
        <v>22357395.629914105</v>
      </c>
      <c r="H43" s="26">
        <f t="shared" si="13"/>
        <v>30673082.886184189</v>
      </c>
    </row>
    <row r="44" spans="1:8" ht="12.75" thickTop="1" thickBot="1" x14ac:dyDescent="0.25">
      <c r="A44" s="8"/>
      <c r="B44" s="27" t="s">
        <v>30</v>
      </c>
      <c r="C44" s="27"/>
      <c r="D44" s="14">
        <f t="shared" ref="D44:H44" si="14">D43/D13</f>
        <v>3.4526765394586025E-2</v>
      </c>
      <c r="E44" s="14">
        <f t="shared" si="14"/>
        <v>4.7802252093427498E-2</v>
      </c>
      <c r="F44" s="14">
        <f t="shared" si="14"/>
        <v>4.1498139744310422E-2</v>
      </c>
      <c r="G44" s="14">
        <f t="shared" si="14"/>
        <v>4.2827715270564032E-2</v>
      </c>
      <c r="H44" s="14">
        <f t="shared" si="14"/>
        <v>4.8576352789659813E-2</v>
      </c>
    </row>
    <row r="45" spans="1:8" ht="12" thickTop="1" x14ac:dyDescent="0.2">
      <c r="A45" s="8"/>
      <c r="B45" s="8"/>
      <c r="C45" s="8"/>
      <c r="D45" s="10"/>
      <c r="E45" s="10"/>
      <c r="F45" s="10"/>
      <c r="G45" s="10"/>
      <c r="H45" s="10"/>
    </row>
    <row r="46" spans="1:8" x14ac:dyDescent="0.2">
      <c r="A46" s="8"/>
      <c r="B46" s="8" t="s">
        <v>31</v>
      </c>
      <c r="C46" s="8"/>
      <c r="D46" s="10">
        <v>216380.0950845973</v>
      </c>
      <c r="E46" s="10">
        <v>205561.09033036738</v>
      </c>
      <c r="F46" s="10">
        <v>234494.71206040072</v>
      </c>
      <c r="G46" s="10">
        <v>215481.62729874661</v>
      </c>
      <c r="H46" s="10">
        <v>255532.58817920453</v>
      </c>
    </row>
    <row r="47" spans="1:8" x14ac:dyDescent="0.2">
      <c r="A47" s="8"/>
      <c r="B47" s="8" t="s">
        <v>32</v>
      </c>
      <c r="C47" s="8"/>
      <c r="D47" s="10">
        <f t="shared" ref="D47:G47" si="15">D13/D46</f>
        <v>1825.3277261487456</v>
      </c>
      <c r="E47" s="10">
        <f t="shared" si="15"/>
        <v>2007.8604987636204</v>
      </c>
      <c r="F47" s="10">
        <f t="shared" si="15"/>
        <v>2182.5443621560553</v>
      </c>
      <c r="G47" s="10">
        <f t="shared" si="15"/>
        <v>2422.6242419932214</v>
      </c>
      <c r="H47" s="10">
        <f>H13/H46</f>
        <v>2471.076726833086</v>
      </c>
    </row>
    <row r="48" spans="1:8" x14ac:dyDescent="0.2">
      <c r="A48" s="8"/>
      <c r="B48" s="8" t="s">
        <v>33</v>
      </c>
      <c r="C48" s="8"/>
      <c r="D48" s="10">
        <f t="shared" ref="D48:G48" si="16">D21/D46</f>
        <v>296.43322272655638</v>
      </c>
      <c r="E48" s="10">
        <f t="shared" si="16"/>
        <v>335.71427539327743</v>
      </c>
      <c r="F48" s="10">
        <f t="shared" si="16"/>
        <v>307.73875506400384</v>
      </c>
      <c r="G48" s="10">
        <f t="shared" si="16"/>
        <v>350.79599024061832</v>
      </c>
      <c r="H48" s="10">
        <f>H21/H46</f>
        <v>408.71414958113797</v>
      </c>
    </row>
    <row r="49" spans="1:8" x14ac:dyDescent="0.2">
      <c r="A49" s="8"/>
      <c r="B49" s="8" t="s">
        <v>34</v>
      </c>
      <c r="C49" s="8"/>
      <c r="D49" s="10">
        <f t="shared" ref="D49:G49" si="17">D27/D46</f>
        <v>127.77294083041234</v>
      </c>
      <c r="E49" s="10">
        <f t="shared" si="17"/>
        <v>172.27443079391873</v>
      </c>
      <c r="F49" s="10">
        <f t="shared" si="17"/>
        <v>159.54399287360766</v>
      </c>
      <c r="G49" s="10">
        <f t="shared" si="17"/>
        <v>180.9700308768935</v>
      </c>
      <c r="H49" s="10">
        <f>H27/H46</f>
        <v>205.68667743978938</v>
      </c>
    </row>
    <row r="50" spans="1:8" x14ac:dyDescent="0.2">
      <c r="A50" s="8"/>
      <c r="B50" s="8"/>
      <c r="C50" s="8"/>
      <c r="D50" s="8"/>
      <c r="E50" s="8"/>
      <c r="F50" s="8"/>
      <c r="G50" s="8"/>
      <c r="H50" s="8"/>
    </row>
    <row r="51" spans="1:8" x14ac:dyDescent="0.2">
      <c r="A51" s="6">
        <v>2</v>
      </c>
      <c r="B51" s="6" t="s">
        <v>35</v>
      </c>
      <c r="C51" s="7"/>
      <c r="D51" s="7"/>
      <c r="E51" s="7"/>
      <c r="F51" s="7"/>
      <c r="G51" s="7"/>
      <c r="H51" s="7"/>
    </row>
    <row r="52" spans="1:8" x14ac:dyDescent="0.2">
      <c r="A52" s="8"/>
      <c r="B52" s="8"/>
      <c r="C52" s="8"/>
      <c r="D52" s="8"/>
      <c r="E52" s="8"/>
      <c r="F52" s="8"/>
      <c r="G52" s="8"/>
      <c r="H52" s="8"/>
    </row>
    <row r="53" spans="1:8" x14ac:dyDescent="0.2">
      <c r="A53" s="8"/>
      <c r="B53" s="37"/>
      <c r="C53" s="37"/>
      <c r="D53" s="38">
        <v>1</v>
      </c>
      <c r="E53" s="38">
        <v>2</v>
      </c>
      <c r="F53" s="38">
        <v>3</v>
      </c>
      <c r="G53" s="38">
        <v>4</v>
      </c>
      <c r="H53" s="38">
        <v>5</v>
      </c>
    </row>
    <row r="54" spans="1:8" x14ac:dyDescent="0.2">
      <c r="A54" s="8"/>
      <c r="B54" s="8"/>
      <c r="C54" s="8"/>
      <c r="D54" s="28"/>
      <c r="E54" s="28"/>
      <c r="F54" s="28"/>
      <c r="G54" s="28"/>
      <c r="H54" s="28"/>
    </row>
    <row r="55" spans="1:8" x14ac:dyDescent="0.2">
      <c r="A55" s="8"/>
      <c r="B55" s="29" t="s">
        <v>36</v>
      </c>
      <c r="C55" s="8"/>
      <c r="D55" s="28"/>
      <c r="E55" s="28"/>
      <c r="F55" s="28"/>
      <c r="G55" s="28"/>
      <c r="H55" s="28"/>
    </row>
    <row r="56" spans="1:8" x14ac:dyDescent="0.2">
      <c r="A56" s="8"/>
      <c r="B56" s="29" t="s">
        <v>37</v>
      </c>
      <c r="C56" s="8"/>
      <c r="D56" s="28"/>
      <c r="E56" s="28"/>
      <c r="F56" s="28"/>
      <c r="G56" s="28"/>
      <c r="H56" s="28"/>
    </row>
    <row r="57" spans="1:8" x14ac:dyDescent="0.2">
      <c r="A57" s="8"/>
      <c r="B57" s="8" t="s">
        <v>38</v>
      </c>
      <c r="C57" s="30"/>
      <c r="D57" s="10">
        <v>117545732.78016958</v>
      </c>
      <c r="E57" s="10">
        <v>110460472.16165787</v>
      </c>
      <c r="F57" s="10">
        <v>104753882.89569412</v>
      </c>
      <c r="G57" s="10">
        <v>99405667.116790771</v>
      </c>
      <c r="H57" s="10">
        <v>91667434.736376733</v>
      </c>
    </row>
    <row r="58" spans="1:8" x14ac:dyDescent="0.2">
      <c r="A58" s="8"/>
      <c r="B58" s="8" t="s">
        <v>39</v>
      </c>
      <c r="C58" s="30"/>
      <c r="D58" s="10">
        <v>11593781.078853454</v>
      </c>
      <c r="E58" s="10">
        <v>9823135.0873513874</v>
      </c>
      <c r="F58" s="10">
        <v>8072795.805122491</v>
      </c>
      <c r="G58" s="10">
        <v>6303110.6676689591</v>
      </c>
      <c r="H58" s="10">
        <v>3905187.3064194242</v>
      </c>
    </row>
    <row r="59" spans="1:8" x14ac:dyDescent="0.2">
      <c r="A59" s="8"/>
      <c r="B59" s="8" t="s">
        <v>40</v>
      </c>
      <c r="C59" s="30"/>
      <c r="D59" s="10">
        <v>1718314</v>
      </c>
      <c r="E59" s="10">
        <v>1718314</v>
      </c>
      <c r="F59" s="10">
        <v>2918307.21</v>
      </c>
      <c r="G59" s="10">
        <v>2918307.21</v>
      </c>
      <c r="H59" s="10">
        <v>2918307.21</v>
      </c>
    </row>
    <row r="60" spans="1:8" x14ac:dyDescent="0.2">
      <c r="A60" s="8"/>
      <c r="B60" s="11" t="s">
        <v>41</v>
      </c>
      <c r="C60" s="11"/>
      <c r="D60" s="31">
        <f t="shared" ref="D60:H60" si="18">SUM(D57:D59)</f>
        <v>130857827.85902303</v>
      </c>
      <c r="E60" s="31">
        <f t="shared" si="18"/>
        <v>122001921.24900925</v>
      </c>
      <c r="F60" s="31">
        <f t="shared" si="18"/>
        <v>115744985.91081661</v>
      </c>
      <c r="G60" s="31">
        <f t="shared" si="18"/>
        <v>108627084.99445972</v>
      </c>
      <c r="H60" s="31">
        <f t="shared" si="18"/>
        <v>98490929.252796143</v>
      </c>
    </row>
    <row r="61" spans="1:8" x14ac:dyDescent="0.2">
      <c r="A61" s="8"/>
      <c r="B61" s="29" t="s">
        <v>42</v>
      </c>
      <c r="C61" s="8"/>
      <c r="D61" s="28"/>
      <c r="E61" s="28"/>
      <c r="F61" s="28"/>
      <c r="G61" s="28"/>
      <c r="H61" s="28"/>
    </row>
    <row r="62" spans="1:8" x14ac:dyDescent="0.2">
      <c r="A62" s="8"/>
      <c r="B62" s="8" t="s">
        <v>43</v>
      </c>
      <c r="C62" s="30"/>
      <c r="D62" s="10">
        <v>118467569.78419217</v>
      </c>
      <c r="E62" s="10">
        <v>152503403.77243218</v>
      </c>
      <c r="F62" s="10">
        <v>190020732.94380173</v>
      </c>
      <c r="G62" s="10">
        <v>162900836.95803156</v>
      </c>
      <c r="H62" s="10">
        <v>224000000.06935999</v>
      </c>
    </row>
    <row r="63" spans="1:8" x14ac:dyDescent="0.2">
      <c r="A63" s="8"/>
      <c r="B63" s="8" t="s">
        <v>44</v>
      </c>
      <c r="C63" s="30"/>
      <c r="D63" s="10">
        <v>49735612.911112875</v>
      </c>
      <c r="E63" s="10">
        <v>55156376.852741703</v>
      </c>
      <c r="F63" s="10">
        <v>73013945.273332909</v>
      </c>
      <c r="G63" s="10">
        <v>81816162.812632665</v>
      </c>
      <c r="H63" s="10">
        <v>93999999.863760218</v>
      </c>
    </row>
    <row r="64" spans="1:8" x14ac:dyDescent="0.2">
      <c r="A64" s="8"/>
      <c r="B64" s="8" t="s">
        <v>45</v>
      </c>
      <c r="C64" s="30"/>
      <c r="D64" s="10">
        <v>38134014.710228123</v>
      </c>
      <c r="E64" s="10">
        <v>56852263.213055469</v>
      </c>
      <c r="F64" s="10">
        <v>63735078.188598834</v>
      </c>
      <c r="G64" s="10">
        <v>82147561.339635074</v>
      </c>
      <c r="H64" s="10">
        <v>82200000.308913678</v>
      </c>
    </row>
    <row r="65" spans="1:8" x14ac:dyDescent="0.2">
      <c r="A65" s="8"/>
      <c r="B65" s="8" t="s">
        <v>46</v>
      </c>
      <c r="C65" s="30"/>
      <c r="D65" s="10">
        <v>806000</v>
      </c>
      <c r="E65" s="10">
        <v>915000</v>
      </c>
      <c r="F65" s="10">
        <v>1245000</v>
      </c>
      <c r="G65" s="10">
        <v>1590000</v>
      </c>
      <c r="H65" s="10">
        <v>1800000</v>
      </c>
    </row>
    <row r="66" spans="1:8" x14ac:dyDescent="0.2">
      <c r="A66" s="8"/>
      <c r="B66" s="8" t="s">
        <v>47</v>
      </c>
      <c r="C66" s="30"/>
      <c r="D66" s="10">
        <v>4526535.6029453212</v>
      </c>
      <c r="E66" s="10">
        <v>5729791.9024624322</v>
      </c>
      <c r="F66" s="10">
        <v>6228034.6765895998</v>
      </c>
      <c r="G66" s="10">
        <v>7414326.9959399998</v>
      </c>
      <c r="H66" s="10">
        <v>8238141.1065999996</v>
      </c>
    </row>
    <row r="67" spans="1:8" x14ac:dyDescent="0.2">
      <c r="A67" s="8"/>
      <c r="B67" s="8" t="s">
        <v>48</v>
      </c>
      <c r="C67" s="30"/>
      <c r="D67" s="10">
        <v>15556225.497613929</v>
      </c>
      <c r="E67" s="10">
        <v>9096312.9816845246</v>
      </c>
      <c r="F67" s="10">
        <v>5908045.5262296274</v>
      </c>
      <c r="G67" s="10">
        <v>11523958.44331478</v>
      </c>
      <c r="H67" s="10">
        <v>4999999.5032974035</v>
      </c>
    </row>
    <row r="68" spans="1:8" x14ac:dyDescent="0.2">
      <c r="A68" s="8"/>
      <c r="B68" s="11" t="s">
        <v>49</v>
      </c>
      <c r="C68" s="11"/>
      <c r="D68" s="31">
        <f t="shared" ref="D68:H68" si="19">SUM(D62:D67)</f>
        <v>227225958.50609243</v>
      </c>
      <c r="E68" s="31">
        <f t="shared" si="19"/>
        <v>280253148.72237629</v>
      </c>
      <c r="F68" s="31">
        <f t="shared" si="19"/>
        <v>340150836.60855269</v>
      </c>
      <c r="G68" s="31">
        <f t="shared" si="19"/>
        <v>347392846.54955411</v>
      </c>
      <c r="H68" s="31">
        <f t="shared" si="19"/>
        <v>415238140.85193121</v>
      </c>
    </row>
    <row r="69" spans="1:8" ht="12" thickBot="1" x14ac:dyDescent="0.25">
      <c r="A69" s="8"/>
      <c r="B69" s="25" t="s">
        <v>50</v>
      </c>
      <c r="C69" s="25"/>
      <c r="D69" s="32">
        <f t="shared" ref="D69:H69" si="20">D60+D68</f>
        <v>358083786.36511546</v>
      </c>
      <c r="E69" s="32">
        <f t="shared" si="20"/>
        <v>402255069.97138554</v>
      </c>
      <c r="F69" s="32">
        <f t="shared" si="20"/>
        <v>455895822.5193693</v>
      </c>
      <c r="G69" s="32">
        <f t="shared" si="20"/>
        <v>456019931.54401386</v>
      </c>
      <c r="H69" s="32">
        <f t="shared" si="20"/>
        <v>513729070.10472739</v>
      </c>
    </row>
    <row r="70" spans="1:8" ht="12" thickTop="1" x14ac:dyDescent="0.2">
      <c r="A70" s="8"/>
      <c r="B70" s="29" t="s">
        <v>51</v>
      </c>
      <c r="C70" s="8"/>
      <c r="D70" s="28"/>
      <c r="E70" s="28"/>
      <c r="F70" s="28"/>
      <c r="G70" s="28"/>
      <c r="H70" s="28"/>
    </row>
    <row r="71" spans="1:8" x14ac:dyDescent="0.2">
      <c r="A71" s="8"/>
      <c r="B71" s="29" t="s">
        <v>52</v>
      </c>
      <c r="C71" s="8"/>
      <c r="D71" s="28"/>
      <c r="E71" s="28"/>
      <c r="F71" s="28"/>
      <c r="G71" s="28"/>
      <c r="H71" s="28"/>
    </row>
    <row r="72" spans="1:8" x14ac:dyDescent="0.2">
      <c r="A72" s="8"/>
      <c r="B72" s="8" t="s">
        <v>53</v>
      </c>
      <c r="C72" s="8"/>
      <c r="D72" s="28">
        <v>50000000</v>
      </c>
      <c r="E72" s="28">
        <v>50000000</v>
      </c>
      <c r="F72" s="28">
        <v>50000000</v>
      </c>
      <c r="G72" s="28">
        <v>50000000</v>
      </c>
      <c r="H72" s="28">
        <v>50000000</v>
      </c>
    </row>
    <row r="73" spans="1:8" x14ac:dyDescent="0.2">
      <c r="A73" s="8"/>
      <c r="B73" s="8" t="s">
        <v>54</v>
      </c>
      <c r="C73" s="8"/>
      <c r="D73" s="28">
        <v>55750000</v>
      </c>
      <c r="E73" s="28">
        <v>55750000</v>
      </c>
      <c r="F73" s="28">
        <v>85750000</v>
      </c>
      <c r="G73" s="28">
        <v>85750000</v>
      </c>
      <c r="H73" s="28">
        <v>85750000</v>
      </c>
    </row>
    <row r="74" spans="1:8" x14ac:dyDescent="0.2">
      <c r="A74" s="8"/>
      <c r="B74" s="8" t="s">
        <v>55</v>
      </c>
      <c r="C74" s="30"/>
      <c r="D74" s="28">
        <v>91683750.457340419</v>
      </c>
      <c r="E74" s="28">
        <v>110105756.6873323</v>
      </c>
      <c r="F74" s="28">
        <v>99704140.096653521</v>
      </c>
      <c r="G74" s="28">
        <v>119445690.79655808</v>
      </c>
      <c r="H74" s="28">
        <v>128784413.00342941</v>
      </c>
    </row>
    <row r="75" spans="1:8" x14ac:dyDescent="0.2">
      <c r="A75" s="8"/>
      <c r="B75" s="11" t="s">
        <v>56</v>
      </c>
      <c r="C75" s="11"/>
      <c r="D75" s="31">
        <f>SUM(D72:D74)</f>
        <v>197433750.45734042</v>
      </c>
      <c r="E75" s="31">
        <f t="shared" ref="E75:H75" si="21">SUM(E72:E74)</f>
        <v>215855756.6873323</v>
      </c>
      <c r="F75" s="31">
        <f t="shared" si="21"/>
        <v>235454140.09665352</v>
      </c>
      <c r="G75" s="31">
        <f t="shared" si="21"/>
        <v>255195690.79655808</v>
      </c>
      <c r="H75" s="31">
        <f t="shared" si="21"/>
        <v>264534413.00342941</v>
      </c>
    </row>
    <row r="76" spans="1:8" x14ac:dyDescent="0.2">
      <c r="A76" s="8"/>
      <c r="B76" s="29" t="s">
        <v>57</v>
      </c>
      <c r="C76" s="8"/>
      <c r="D76" s="28"/>
      <c r="E76" s="28"/>
      <c r="F76" s="28"/>
      <c r="G76" s="28"/>
      <c r="H76" s="28"/>
    </row>
    <row r="77" spans="1:8" x14ac:dyDescent="0.2">
      <c r="A77" s="8"/>
      <c r="B77" s="29" t="s">
        <v>58</v>
      </c>
      <c r="C77" s="8"/>
      <c r="D77" s="28"/>
      <c r="E77" s="28"/>
      <c r="F77" s="28"/>
      <c r="G77" s="28"/>
      <c r="H77" s="28"/>
    </row>
    <row r="78" spans="1:8" x14ac:dyDescent="0.2">
      <c r="A78" s="8"/>
      <c r="B78" s="8" t="s">
        <v>59</v>
      </c>
      <c r="C78" s="30"/>
      <c r="D78" s="28">
        <v>2418000</v>
      </c>
      <c r="E78" s="28">
        <v>2418000</v>
      </c>
      <c r="F78" s="28">
        <v>2418000</v>
      </c>
      <c r="G78" s="28">
        <v>2418000</v>
      </c>
      <c r="H78" s="28">
        <v>2418000</v>
      </c>
    </row>
    <row r="79" spans="1:8" x14ac:dyDescent="0.2">
      <c r="A79" s="8"/>
      <c r="B79" s="11" t="s">
        <v>60</v>
      </c>
      <c r="C79" s="11"/>
      <c r="D79" s="31">
        <f t="shared" ref="D79:H79" si="22">SUM(D78:D78)</f>
        <v>2418000</v>
      </c>
      <c r="E79" s="31">
        <f t="shared" si="22"/>
        <v>2418000</v>
      </c>
      <c r="F79" s="31">
        <f t="shared" si="22"/>
        <v>2418000</v>
      </c>
      <c r="G79" s="31">
        <f t="shared" si="22"/>
        <v>2418000</v>
      </c>
      <c r="H79" s="31">
        <f t="shared" si="22"/>
        <v>2418000</v>
      </c>
    </row>
    <row r="80" spans="1:8" x14ac:dyDescent="0.2">
      <c r="A80" s="8"/>
      <c r="B80" s="29" t="s">
        <v>61</v>
      </c>
      <c r="C80" s="8"/>
      <c r="D80" s="28"/>
      <c r="E80" s="28"/>
      <c r="F80" s="28"/>
      <c r="G80" s="28"/>
      <c r="H80" s="28"/>
    </row>
    <row r="81" spans="1:8" x14ac:dyDescent="0.2">
      <c r="A81" s="8"/>
      <c r="B81" s="8" t="s">
        <v>59</v>
      </c>
      <c r="C81" s="30"/>
      <c r="D81" s="28">
        <v>66082500</v>
      </c>
      <c r="E81" s="28">
        <v>69664500</v>
      </c>
      <c r="F81" s="28">
        <v>73246500</v>
      </c>
      <c r="G81" s="28">
        <v>75828500</v>
      </c>
      <c r="H81" s="28">
        <v>76410500</v>
      </c>
    </row>
    <row r="82" spans="1:8" x14ac:dyDescent="0.2">
      <c r="A82" s="8"/>
      <c r="B82" s="8" t="s">
        <v>62</v>
      </c>
      <c r="C82" s="30"/>
      <c r="D82" s="28">
        <v>88528248.776567161</v>
      </c>
      <c r="E82" s="28">
        <v>110766531.77475655</v>
      </c>
      <c r="F82" s="28">
        <v>141154446.19718319</v>
      </c>
      <c r="G82" s="28">
        <v>118413676.1822297</v>
      </c>
      <c r="H82" s="28">
        <v>165840000.00116003</v>
      </c>
    </row>
    <row r="83" spans="1:8" x14ac:dyDescent="0.2">
      <c r="A83" s="8"/>
      <c r="B83" s="8" t="s">
        <v>63</v>
      </c>
      <c r="C83" s="30"/>
      <c r="D83" s="28">
        <v>3621286.7174698417</v>
      </c>
      <c r="E83" s="28">
        <v>3550281.0955586685</v>
      </c>
      <c r="F83" s="28">
        <v>3622735.8117945599</v>
      </c>
      <c r="G83" s="28">
        <v>4164064.1514880001</v>
      </c>
      <c r="H83" s="28">
        <v>4526156.6864</v>
      </c>
    </row>
    <row r="84" spans="1:8" x14ac:dyDescent="0.2">
      <c r="A84" s="8"/>
      <c r="B84" s="11" t="s">
        <v>64</v>
      </c>
      <c r="C84" s="11"/>
      <c r="D84" s="31">
        <f t="shared" ref="D84:H84" si="23">SUM(D81:D83)</f>
        <v>158232035.494037</v>
      </c>
      <c r="E84" s="31">
        <f t="shared" si="23"/>
        <v>183981312.87031522</v>
      </c>
      <c r="F84" s="31">
        <f t="shared" si="23"/>
        <v>218023682.00897774</v>
      </c>
      <c r="G84" s="31">
        <f t="shared" si="23"/>
        <v>198406240.3337177</v>
      </c>
      <c r="H84" s="31">
        <f t="shared" si="23"/>
        <v>246776656.68756002</v>
      </c>
    </row>
    <row r="85" spans="1:8" x14ac:dyDescent="0.2">
      <c r="A85" s="8"/>
      <c r="B85" s="29" t="s">
        <v>65</v>
      </c>
      <c r="C85" s="29"/>
      <c r="D85" s="33">
        <f t="shared" ref="D85:H85" si="24">D79+D84</f>
        <v>160650035.494037</v>
      </c>
      <c r="E85" s="33">
        <f t="shared" si="24"/>
        <v>186399312.87031522</v>
      </c>
      <c r="F85" s="33">
        <f t="shared" si="24"/>
        <v>220441682.00897774</v>
      </c>
      <c r="G85" s="33">
        <f t="shared" si="24"/>
        <v>200824240.3337177</v>
      </c>
      <c r="H85" s="33">
        <f t="shared" si="24"/>
        <v>249194656.68756002</v>
      </c>
    </row>
    <row r="86" spans="1:8" ht="12" thickBot="1" x14ac:dyDescent="0.25">
      <c r="A86" s="8"/>
      <c r="B86" s="25" t="s">
        <v>66</v>
      </c>
      <c r="C86" s="25"/>
      <c r="D86" s="32">
        <f t="shared" ref="D86:H86" si="25">D75+D85</f>
        <v>358083785.95137739</v>
      </c>
      <c r="E86" s="32">
        <f t="shared" si="25"/>
        <v>402255069.55764753</v>
      </c>
      <c r="F86" s="32">
        <f t="shared" si="25"/>
        <v>455895822.10563123</v>
      </c>
      <c r="G86" s="32">
        <f t="shared" si="25"/>
        <v>456019931.13027579</v>
      </c>
      <c r="H86" s="32">
        <f t="shared" si="25"/>
        <v>513729069.69098943</v>
      </c>
    </row>
    <row r="87" spans="1:8" ht="12" thickTop="1" x14ac:dyDescent="0.2">
      <c r="A87" s="8"/>
      <c r="B87" s="34" t="s">
        <v>67</v>
      </c>
      <c r="C87" s="8"/>
      <c r="D87" s="35">
        <f t="shared" ref="D87:H87" si="26">ROUND(D69-D86,0)</f>
        <v>0</v>
      </c>
      <c r="E87" s="35">
        <f t="shared" si="26"/>
        <v>0</v>
      </c>
      <c r="F87" s="35">
        <f t="shared" si="26"/>
        <v>0</v>
      </c>
      <c r="G87" s="35">
        <f t="shared" si="26"/>
        <v>0</v>
      </c>
      <c r="H87" s="35">
        <f t="shared" si="26"/>
        <v>0</v>
      </c>
    </row>
    <row r="88" spans="1:8" x14ac:dyDescent="0.2">
      <c r="A88" s="8"/>
      <c r="B88" s="8"/>
      <c r="C88" s="8"/>
      <c r="D88" s="8"/>
      <c r="E88" s="36"/>
      <c r="F88" s="36"/>
      <c r="G88" s="36"/>
      <c r="H88" s="36"/>
    </row>
  </sheetData>
  <phoneticPr fontId="15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41A888-8AD3-4843-8D39-451C9BA1AF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5E136E-73FD-4F90-8BBF-2F9527281D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D7CACA-9E1A-450A-B3A4-B9527CBCD25F}">
  <ds:schemaRefs>
    <ds:schemaRef ds:uri="http://purl.org/dc/terms/"/>
    <ds:schemaRef ds:uri="http://purl.org/dc/elements/1.1/"/>
    <ds:schemaRef ds:uri="http://schemas.microsoft.com/office/2006/documentManagement/types"/>
    <ds:schemaRef ds:uri="7b38f2a3-aa4f-459a-96a7-609069baf883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210a6c26-33a8-4c30-9028-1a854218d47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CashRatio</vt:lpstr>
      <vt:lpstr>FY'16-20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Dobromir.Dikov</dc:creator>
  <cp:lastModifiedBy>Dobromir Dikov</cp:lastModifiedBy>
  <dcterms:created xsi:type="dcterms:W3CDTF">2020-02-12T21:04:02Z</dcterms:created>
  <dcterms:modified xsi:type="dcterms:W3CDTF">2020-10-29T06:22:00Z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