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nacreatures.sharepoint.com/sites/MainaCreatures/Shared Documents/General/5. Blog Posts/Scenario Analysis/"/>
    </mc:Choice>
  </mc:AlternateContent>
  <xr:revisionPtr revIDLastSave="35" documentId="13_ncr:1_{B046703D-E820-4EE2-9619-5901074674EF}" xr6:coauthVersionLast="45" xr6:coauthVersionMax="45" xr10:uidLastSave="{7F800B93-6623-4037-AC06-F58123C15CA4}"/>
  <bookViews>
    <workbookView xWindow="-120" yWindow="-120" windowWidth="29040" windowHeight="15990" xr2:uid="{5FB02527-EDE6-6F4D-8B53-E7C2E76B0F37}"/>
  </bookViews>
  <sheets>
    <sheet name="ScenarioAnalys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5" i="1" l="1"/>
  <c r="C14" i="1"/>
  <c r="C13" i="1"/>
  <c r="C12" i="1"/>
  <c r="C11" i="1"/>
  <c r="C10" i="1"/>
  <c r="F23" i="1" l="1"/>
  <c r="F22" i="1" s="1"/>
  <c r="G26" i="1"/>
  <c r="H26" i="1"/>
  <c r="I26" i="1"/>
  <c r="J26" i="1"/>
  <c r="F26" i="1"/>
  <c r="G29" i="1"/>
  <c r="H29" i="1"/>
  <c r="I29" i="1"/>
  <c r="J29" i="1"/>
  <c r="F29" i="1"/>
  <c r="G23" i="1"/>
  <c r="H23" i="1"/>
  <c r="I23" i="1"/>
  <c r="J23" i="1"/>
  <c r="E27" i="1"/>
  <c r="E30" i="1" s="1"/>
  <c r="D27" i="1"/>
  <c r="D30" i="1" s="1"/>
  <c r="C27" i="1"/>
  <c r="C30" i="1" s="1"/>
  <c r="F28" i="1" l="1"/>
  <c r="G22" i="1"/>
  <c r="H22" i="1" s="1"/>
  <c r="I22" i="1" s="1"/>
  <c r="J22" i="1" s="1"/>
  <c r="J25" i="1" s="1"/>
  <c r="J27" i="1" s="1"/>
  <c r="F25" i="1"/>
  <c r="F27" i="1" s="1"/>
  <c r="F30" i="1" l="1"/>
  <c r="F33" i="1" s="1"/>
  <c r="H25" i="1"/>
  <c r="H27" i="1" s="1"/>
  <c r="I28" i="1"/>
  <c r="I25" i="1"/>
  <c r="I27" i="1" s="1"/>
  <c r="H28" i="1"/>
  <c r="J28" i="1"/>
  <c r="J30" i="1" s="1"/>
  <c r="J33" i="1" s="1"/>
  <c r="G28" i="1"/>
  <c r="G25" i="1"/>
  <c r="G27" i="1" s="1"/>
  <c r="K33" i="1" l="1"/>
  <c r="I30" i="1"/>
  <c r="I33" i="1" s="1"/>
  <c r="H30" i="1"/>
  <c r="H33" i="1" s="1"/>
  <c r="G30" i="1"/>
  <c r="G33" i="1" s="1"/>
  <c r="C35" i="1" l="1"/>
  <c r="C39" i="1" s="1"/>
  <c r="C42" i="1" s="1"/>
  <c r="C44" i="1" s="1"/>
</calcChain>
</file>

<file path=xl/sharedStrings.xml><?xml version="1.0" encoding="utf-8"?>
<sst xmlns="http://schemas.openxmlformats.org/spreadsheetml/2006/main" count="52" uniqueCount="41">
  <si>
    <t>Magnimetrics</t>
  </si>
  <si>
    <t>FY 2018</t>
  </si>
  <si>
    <t>FY 2019</t>
  </si>
  <si>
    <t>FY 2020</t>
  </si>
  <si>
    <t>FY 2021</t>
  </si>
  <si>
    <t>Actual</t>
  </si>
  <si>
    <t>Forecast</t>
  </si>
  <si>
    <t>FY 2022</t>
  </si>
  <si>
    <t>FY 2023</t>
  </si>
  <si>
    <t>Revenue</t>
  </si>
  <si>
    <t>FY 2017</t>
  </si>
  <si>
    <t>Cost of Goods Sold</t>
  </si>
  <si>
    <t>Gross Profit</t>
  </si>
  <si>
    <t>SG&amp;A Expenses</t>
  </si>
  <si>
    <t>EBITDA</t>
  </si>
  <si>
    <t>Less: Capex</t>
  </si>
  <si>
    <t>Less: Changes in NWC</t>
  </si>
  <si>
    <t>Unlevered Free Cash Flow</t>
  </si>
  <si>
    <t>EXIT</t>
  </si>
  <si>
    <t>Net Present Value</t>
  </si>
  <si>
    <t>Assumptions</t>
  </si>
  <si>
    <t>Value</t>
  </si>
  <si>
    <t>Discount Rate</t>
  </si>
  <si>
    <t>Shares Outstanding</t>
  </si>
  <si>
    <t>Enterprise Value</t>
  </si>
  <si>
    <t>Plus: Cash</t>
  </si>
  <si>
    <t>Less: Debt</t>
  </si>
  <si>
    <t>Equity Value</t>
  </si>
  <si>
    <t>Share Price Calculation</t>
  </si>
  <si>
    <t>Per Share</t>
  </si>
  <si>
    <t>Revenue Growth</t>
  </si>
  <si>
    <t>Growth Rate</t>
  </si>
  <si>
    <t>COGS Percentage</t>
  </si>
  <si>
    <t>SG&amp;A Percentage</t>
  </si>
  <si>
    <t>in EUR'000</t>
  </si>
  <si>
    <t>EBITDA Exit Mulltiple</t>
  </si>
  <si>
    <t>Scenario Analysis</t>
  </si>
  <si>
    <t>Best Case</t>
  </si>
  <si>
    <t>Base Case</t>
  </si>
  <si>
    <t>Worst Case</t>
  </si>
  <si>
    <t>Select a Scenario: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</si>
</sst>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%"/>
    <numFmt numFmtId="166" formatCode="0.00&quot; x&quot;"/>
    <numFmt numFmtId="167" formatCode="_-* #,##0_-;\-* #,##0_-;_-* &quot;-&quot;??_-;_-@_-"/>
  </numFmts>
  <fonts count="13" x14ac:knownFonts="1">
    <font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9"/>
      <color rgb="FF002060"/>
      <name val="Arial"/>
      <family val="2"/>
    </font>
    <font>
      <b/>
      <i/>
      <sz val="8"/>
      <color rgb="FF002060"/>
      <name val="Arial"/>
      <family val="2"/>
    </font>
    <font>
      <sz val="12"/>
      <color theme="1"/>
      <name val="Calibri"/>
      <family val="2"/>
      <scheme val="minor"/>
    </font>
    <font>
      <b/>
      <sz val="8"/>
      <color theme="0"/>
      <name val="Arial"/>
      <family val="2"/>
    </font>
    <font>
      <i/>
      <sz val="8"/>
      <color theme="1"/>
      <name val="Arial"/>
      <family val="2"/>
    </font>
    <font>
      <i/>
      <sz val="8"/>
      <color rgb="FF00B050"/>
      <name val="Arial"/>
      <family val="2"/>
    </font>
    <font>
      <i/>
      <sz val="8"/>
      <color rgb="FFFFC000"/>
      <name val="Arial"/>
      <family val="2"/>
    </font>
    <font>
      <b/>
      <sz val="8"/>
      <color theme="1"/>
      <name val="Arial"/>
      <family val="2"/>
    </font>
    <font>
      <b/>
      <i/>
      <sz val="8"/>
      <color theme="0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2" borderId="0" xfId="0" applyFont="1" applyFill="1"/>
    <xf numFmtId="0" fontId="7" fillId="0" borderId="0" xfId="0" applyFont="1"/>
    <xf numFmtId="0" fontId="1" fillId="0" borderId="1" xfId="0" applyFont="1" applyBorder="1"/>
    <xf numFmtId="0" fontId="10" fillId="0" borderId="1" xfId="0" applyFont="1" applyBorder="1"/>
    <xf numFmtId="0" fontId="10" fillId="0" borderId="2" xfId="0" applyFont="1" applyBorder="1"/>
    <xf numFmtId="0" fontId="6" fillId="3" borderId="0" xfId="0" applyFont="1" applyFill="1"/>
    <xf numFmtId="0" fontId="6" fillId="2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14" fontId="11" fillId="3" borderId="0" xfId="0" applyNumberFormat="1" applyFont="1" applyFill="1" applyAlignment="1">
      <alignment horizontal="right"/>
    </xf>
    <xf numFmtId="0" fontId="10" fillId="0" borderId="0" xfId="0" applyFont="1"/>
    <xf numFmtId="0" fontId="10" fillId="0" borderId="3" xfId="0" applyFont="1" applyBorder="1"/>
    <xf numFmtId="9" fontId="7" fillId="0" borderId="0" xfId="0" applyNumberFormat="1" applyFont="1"/>
    <xf numFmtId="167" fontId="1" fillId="0" borderId="0" xfId="1" applyNumberFormat="1" applyFont="1"/>
    <xf numFmtId="167" fontId="1" fillId="0" borderId="0" xfId="0" applyNumberFormat="1" applyFont="1"/>
    <xf numFmtId="167" fontId="1" fillId="0" borderId="1" xfId="0" applyNumberFormat="1" applyFont="1" applyBorder="1"/>
    <xf numFmtId="165" fontId="7" fillId="0" borderId="0" xfId="0" applyNumberFormat="1" applyFont="1"/>
    <xf numFmtId="167" fontId="10" fillId="0" borderId="1" xfId="0" applyNumberFormat="1" applyFont="1" applyBorder="1"/>
    <xf numFmtId="167" fontId="10" fillId="0" borderId="2" xfId="0" applyNumberFormat="1" applyFont="1" applyBorder="1"/>
    <xf numFmtId="0" fontId="10" fillId="0" borderId="0" xfId="0" applyFont="1" applyBorder="1"/>
    <xf numFmtId="166" fontId="1" fillId="0" borderId="0" xfId="0" applyNumberFormat="1" applyFont="1" applyBorder="1"/>
    <xf numFmtId="167" fontId="10" fillId="0" borderId="2" xfId="1" applyNumberFormat="1" applyFont="1" applyBorder="1"/>
    <xf numFmtId="167" fontId="10" fillId="0" borderId="0" xfId="0" applyNumberFormat="1" applyFont="1"/>
    <xf numFmtId="164" fontId="10" fillId="0" borderId="3" xfId="1" applyNumberFormat="1" applyFont="1" applyBorder="1"/>
    <xf numFmtId="10" fontId="1" fillId="0" borderId="0" xfId="2" applyNumberFormat="1" applyFont="1"/>
    <xf numFmtId="0" fontId="12" fillId="4" borderId="4" xfId="0" applyFont="1" applyFill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C11F8-DCBE-A747-9859-40B3159912C1}">
  <dimension ref="B2:K45"/>
  <sheetViews>
    <sheetView showGridLines="0" tabSelected="1" zoomScaleNormal="100" workbookViewId="0">
      <selection activeCell="E5" sqref="E5"/>
    </sheetView>
  </sheetViews>
  <sheetFormatPr defaultColWidth="10.875" defaultRowHeight="11.25" x14ac:dyDescent="0.2"/>
  <cols>
    <col min="1" max="1" width="2.125" style="1" customWidth="1"/>
    <col min="2" max="2" width="20.125" style="1" bestFit="1" customWidth="1"/>
    <col min="3" max="4" width="10.875" style="1"/>
    <col min="5" max="5" width="13.125" style="1" customWidth="1"/>
    <col min="6" max="8" width="10.875" style="1"/>
    <col min="9" max="9" width="11.875" style="1" bestFit="1" customWidth="1"/>
    <col min="10" max="16384" width="10.875" style="1"/>
  </cols>
  <sheetData>
    <row r="2" spans="2:7" ht="15.75" x14ac:dyDescent="0.25">
      <c r="B2" s="2" t="s">
        <v>36</v>
      </c>
    </row>
    <row r="3" spans="2:7" ht="12" x14ac:dyDescent="0.2">
      <c r="B3" s="3" t="s">
        <v>0</v>
      </c>
    </row>
    <row r="5" spans="2:7" x14ac:dyDescent="0.2">
      <c r="B5" s="4" t="s">
        <v>34</v>
      </c>
    </row>
    <row r="7" spans="2:7" ht="12" x14ac:dyDescent="0.2">
      <c r="B7" s="15" t="s">
        <v>40</v>
      </c>
      <c r="C7" s="30" t="s">
        <v>38</v>
      </c>
    </row>
    <row r="9" spans="2:7" x14ac:dyDescent="0.2">
      <c r="B9" s="5" t="s">
        <v>20</v>
      </c>
      <c r="C9" s="11" t="s">
        <v>21</v>
      </c>
      <c r="E9" s="11" t="s">
        <v>37</v>
      </c>
      <c r="F9" s="11" t="s">
        <v>38</v>
      </c>
      <c r="G9" s="11" t="s">
        <v>39</v>
      </c>
    </row>
    <row r="10" spans="2:7" x14ac:dyDescent="0.2">
      <c r="B10" s="1" t="s">
        <v>30</v>
      </c>
      <c r="C10" s="29">
        <f>HLOOKUP($C$7,$E$9:$G$15,2,0)</f>
        <v>0.15</v>
      </c>
      <c r="E10" s="29">
        <v>0.2</v>
      </c>
      <c r="F10" s="29">
        <v>0.15</v>
      </c>
      <c r="G10" s="29">
        <v>0.1</v>
      </c>
    </row>
    <row r="11" spans="2:7" x14ac:dyDescent="0.2">
      <c r="B11" s="1" t="s">
        <v>32</v>
      </c>
      <c r="C11" s="29">
        <f>HLOOKUP($C$7,$E$9:$G$15,3,0)</f>
        <v>0.75</v>
      </c>
      <c r="E11" s="29">
        <v>0.73</v>
      </c>
      <c r="F11" s="29">
        <v>0.75</v>
      </c>
      <c r="G11" s="29">
        <v>0.77</v>
      </c>
    </row>
    <row r="12" spans="2:7" x14ac:dyDescent="0.2">
      <c r="B12" s="1" t="s">
        <v>33</v>
      </c>
      <c r="C12" s="29">
        <f>HLOOKUP($C$7,$E$9:$G$15,4,0)</f>
        <v>8.5000000000000006E-2</v>
      </c>
      <c r="E12" s="29">
        <v>8.2000000000000003E-2</v>
      </c>
      <c r="F12" s="29">
        <v>8.5000000000000006E-2</v>
      </c>
      <c r="G12" s="29">
        <v>9.2999999999999999E-2</v>
      </c>
    </row>
    <row r="13" spans="2:7" x14ac:dyDescent="0.2">
      <c r="B13" s="1" t="s">
        <v>22</v>
      </c>
      <c r="C13" s="29">
        <f>HLOOKUP($C$7,$E$9:$G$15,5,0)</f>
        <v>0.1</v>
      </c>
      <c r="E13" s="29">
        <v>0.09</v>
      </c>
      <c r="F13" s="29">
        <v>0.1</v>
      </c>
      <c r="G13" s="29">
        <v>0.115</v>
      </c>
    </row>
    <row r="14" spans="2:7" x14ac:dyDescent="0.2">
      <c r="B14" s="1" t="s">
        <v>35</v>
      </c>
      <c r="C14" s="25">
        <f>HLOOKUP($C$7,$E$9:$G$15,6,0)</f>
        <v>8</v>
      </c>
      <c r="E14" s="25">
        <v>10</v>
      </c>
      <c r="F14" s="25">
        <v>8</v>
      </c>
      <c r="G14" s="25">
        <v>5.5</v>
      </c>
    </row>
    <row r="15" spans="2:7" x14ac:dyDescent="0.2">
      <c r="B15" s="1" t="s">
        <v>23</v>
      </c>
      <c r="C15" s="18">
        <f>HLOOKUP($C$7,$E$9:$G$15,7,0)</f>
        <v>12500</v>
      </c>
      <c r="E15" s="18">
        <v>12500</v>
      </c>
      <c r="F15" s="18">
        <v>12500</v>
      </c>
      <c r="G15" s="18">
        <v>12500</v>
      </c>
    </row>
    <row r="18" spans="2:11" x14ac:dyDescent="0.2">
      <c r="B18" s="5"/>
      <c r="C18" s="11" t="s">
        <v>10</v>
      </c>
      <c r="D18" s="11" t="s">
        <v>1</v>
      </c>
      <c r="E18" s="11" t="s">
        <v>2</v>
      </c>
      <c r="F18" s="11" t="s">
        <v>3</v>
      </c>
      <c r="G18" s="11" t="s">
        <v>4</v>
      </c>
      <c r="H18" s="11" t="s">
        <v>4</v>
      </c>
      <c r="I18" s="11" t="s">
        <v>7</v>
      </c>
      <c r="J18" s="11" t="s">
        <v>8</v>
      </c>
      <c r="K18" s="11" t="s">
        <v>18</v>
      </c>
    </row>
    <row r="19" spans="2:11" x14ac:dyDescent="0.2">
      <c r="B19" s="10"/>
      <c r="C19" s="14">
        <v>43100</v>
      </c>
      <c r="D19" s="14">
        <v>43465</v>
      </c>
      <c r="E19" s="14">
        <v>43830</v>
      </c>
      <c r="F19" s="14">
        <v>44196</v>
      </c>
      <c r="G19" s="14">
        <v>44561</v>
      </c>
      <c r="H19" s="14">
        <v>44926</v>
      </c>
      <c r="I19" s="14">
        <v>45291</v>
      </c>
      <c r="J19" s="14">
        <v>45657</v>
      </c>
      <c r="K19" s="14">
        <v>45657</v>
      </c>
    </row>
    <row r="20" spans="2:11" x14ac:dyDescent="0.2">
      <c r="C20" s="12" t="s">
        <v>5</v>
      </c>
      <c r="D20" s="12" t="s">
        <v>5</v>
      </c>
      <c r="E20" s="12" t="s">
        <v>5</v>
      </c>
      <c r="F20" s="13" t="s">
        <v>6</v>
      </c>
      <c r="G20" s="13" t="s">
        <v>6</v>
      </c>
      <c r="H20" s="13" t="s">
        <v>6</v>
      </c>
      <c r="I20" s="13" t="s">
        <v>6</v>
      </c>
      <c r="J20" s="13" t="s">
        <v>6</v>
      </c>
      <c r="K20" s="13" t="s">
        <v>6</v>
      </c>
    </row>
    <row r="22" spans="2:11" x14ac:dyDescent="0.2">
      <c r="B22" s="1" t="s">
        <v>9</v>
      </c>
      <c r="C22" s="18">
        <v>24500</v>
      </c>
      <c r="D22" s="18">
        <v>25200</v>
      </c>
      <c r="E22" s="18">
        <v>27380</v>
      </c>
      <c r="F22" s="18">
        <f>E22*(1+F23)</f>
        <v>31486.999999999996</v>
      </c>
      <c r="G22" s="18">
        <f t="shared" ref="G22:J22" si="0">F22*(1+G23)</f>
        <v>36210.049999999996</v>
      </c>
      <c r="H22" s="18">
        <f t="shared" si="0"/>
        <v>41641.557499999995</v>
      </c>
      <c r="I22" s="18">
        <f t="shared" si="0"/>
        <v>47887.791124999989</v>
      </c>
      <c r="J22" s="18">
        <f t="shared" si="0"/>
        <v>55070.959793749986</v>
      </c>
    </row>
    <row r="23" spans="2:11" x14ac:dyDescent="0.2">
      <c r="B23" s="6" t="s">
        <v>31</v>
      </c>
      <c r="C23" s="6"/>
      <c r="D23" s="6"/>
      <c r="E23" s="6"/>
      <c r="F23" s="17">
        <f>$C$10</f>
        <v>0.15</v>
      </c>
      <c r="G23" s="17">
        <f>$C$10</f>
        <v>0.15</v>
      </c>
      <c r="H23" s="17">
        <f>$C$10</f>
        <v>0.15</v>
      </c>
      <c r="I23" s="17">
        <f>$C$10</f>
        <v>0.15</v>
      </c>
      <c r="J23" s="17">
        <f>$C$10</f>
        <v>0.15</v>
      </c>
    </row>
    <row r="25" spans="2:11" x14ac:dyDescent="0.2">
      <c r="B25" s="1" t="s">
        <v>11</v>
      </c>
      <c r="C25" s="19">
        <v>-19845</v>
      </c>
      <c r="D25" s="19">
        <v>-19404</v>
      </c>
      <c r="E25" s="19">
        <v>-20261.2</v>
      </c>
      <c r="F25" s="19">
        <f t="shared" ref="F25:J25" si="1">-F26*F22</f>
        <v>-23615.249999999996</v>
      </c>
      <c r="G25" s="19">
        <f t="shared" si="1"/>
        <v>-27157.537499999999</v>
      </c>
      <c r="H25" s="19">
        <f t="shared" si="1"/>
        <v>-31231.168124999997</v>
      </c>
      <c r="I25" s="19">
        <f t="shared" si="1"/>
        <v>-35915.843343749992</v>
      </c>
      <c r="J25" s="19">
        <f t="shared" si="1"/>
        <v>-41303.219845312487</v>
      </c>
    </row>
    <row r="26" spans="2:11" x14ac:dyDescent="0.2">
      <c r="B26" s="6" t="s">
        <v>32</v>
      </c>
      <c r="C26" s="17"/>
      <c r="D26" s="17"/>
      <c r="E26" s="17"/>
      <c r="F26" s="17">
        <f>$C$11</f>
        <v>0.75</v>
      </c>
      <c r="G26" s="17">
        <f t="shared" ref="G26:J26" si="2">$C$11</f>
        <v>0.75</v>
      </c>
      <c r="H26" s="17">
        <f t="shared" si="2"/>
        <v>0.75</v>
      </c>
      <c r="I26" s="17">
        <f t="shared" si="2"/>
        <v>0.75</v>
      </c>
      <c r="J26" s="17">
        <f t="shared" si="2"/>
        <v>0.75</v>
      </c>
    </row>
    <row r="27" spans="2:11" x14ac:dyDescent="0.2">
      <c r="B27" s="7" t="s">
        <v>12</v>
      </c>
      <c r="C27" s="20">
        <f>C22+C25</f>
        <v>4655</v>
      </c>
      <c r="D27" s="20">
        <f t="shared" ref="D27:J27" si="3">D22+D25</f>
        <v>5796</v>
      </c>
      <c r="E27" s="20">
        <f t="shared" si="3"/>
        <v>7118.7999999999993</v>
      </c>
      <c r="F27" s="20">
        <f t="shared" si="3"/>
        <v>7871.75</v>
      </c>
      <c r="G27" s="20">
        <f t="shared" si="3"/>
        <v>9052.5124999999971</v>
      </c>
      <c r="H27" s="20">
        <f t="shared" si="3"/>
        <v>10410.389374999999</v>
      </c>
      <c r="I27" s="20">
        <f t="shared" si="3"/>
        <v>11971.947781249997</v>
      </c>
      <c r="J27" s="20">
        <f t="shared" si="3"/>
        <v>13767.739948437498</v>
      </c>
    </row>
    <row r="28" spans="2:11" x14ac:dyDescent="0.2">
      <c r="B28" s="1" t="s">
        <v>13</v>
      </c>
      <c r="C28" s="18">
        <v>-1788.5</v>
      </c>
      <c r="D28" s="18">
        <v>-1940.3999999999999</v>
      </c>
      <c r="E28" s="18">
        <v>-2217.7800000000002</v>
      </c>
      <c r="F28" s="18">
        <f t="shared" ref="F28:J28" si="4">-F29*F22</f>
        <v>-2676.395</v>
      </c>
      <c r="G28" s="18">
        <f t="shared" si="4"/>
        <v>-3077.8542499999999</v>
      </c>
      <c r="H28" s="18">
        <f t="shared" si="4"/>
        <v>-3539.5323874999999</v>
      </c>
      <c r="I28" s="18">
        <f t="shared" si="4"/>
        <v>-4070.4622456249995</v>
      </c>
      <c r="J28" s="18">
        <f t="shared" si="4"/>
        <v>-4681.0315824687495</v>
      </c>
    </row>
    <row r="29" spans="2:11" x14ac:dyDescent="0.2">
      <c r="B29" s="6" t="s">
        <v>33</v>
      </c>
      <c r="C29" s="21"/>
      <c r="D29" s="21"/>
      <c r="E29" s="21"/>
      <c r="F29" s="21">
        <f>$C$12</f>
        <v>8.5000000000000006E-2</v>
      </c>
      <c r="G29" s="21">
        <f t="shared" ref="G29:J29" si="5">$C$12</f>
        <v>8.5000000000000006E-2</v>
      </c>
      <c r="H29" s="21">
        <f t="shared" si="5"/>
        <v>8.5000000000000006E-2</v>
      </c>
      <c r="I29" s="21">
        <f t="shared" si="5"/>
        <v>8.5000000000000006E-2</v>
      </c>
      <c r="J29" s="21">
        <f t="shared" si="5"/>
        <v>8.5000000000000006E-2</v>
      </c>
    </row>
    <row r="30" spans="2:11" x14ac:dyDescent="0.2">
      <c r="B30" s="8" t="s">
        <v>14</v>
      </c>
      <c r="C30" s="22">
        <f>C27+C28</f>
        <v>2866.5</v>
      </c>
      <c r="D30" s="22">
        <f t="shared" ref="D30:J30" si="6">D27+D28</f>
        <v>3855.6000000000004</v>
      </c>
      <c r="E30" s="22">
        <f t="shared" si="6"/>
        <v>4901.0199999999986</v>
      </c>
      <c r="F30" s="22">
        <f t="shared" si="6"/>
        <v>5195.3549999999996</v>
      </c>
      <c r="G30" s="22">
        <f t="shared" si="6"/>
        <v>5974.6582499999968</v>
      </c>
      <c r="H30" s="22">
        <f t="shared" si="6"/>
        <v>6870.8569874999994</v>
      </c>
      <c r="I30" s="22">
        <f t="shared" si="6"/>
        <v>7901.4855356249973</v>
      </c>
      <c r="J30" s="22">
        <f t="shared" si="6"/>
        <v>9086.7083659687487</v>
      </c>
    </row>
    <row r="31" spans="2:11" x14ac:dyDescent="0.2">
      <c r="B31" s="1" t="s">
        <v>15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</row>
    <row r="32" spans="2:11" x14ac:dyDescent="0.2">
      <c r="B32" s="1" t="s">
        <v>16</v>
      </c>
      <c r="F32" s="18">
        <v>250</v>
      </c>
      <c r="G32" s="18">
        <v>140</v>
      </c>
      <c r="H32" s="18">
        <v>-200</v>
      </c>
      <c r="I32" s="18">
        <v>120</v>
      </c>
      <c r="J32" s="18">
        <v>260</v>
      </c>
    </row>
    <row r="33" spans="2:11" ht="12" thickBot="1" x14ac:dyDescent="0.25">
      <c r="B33" s="9" t="s">
        <v>17</v>
      </c>
      <c r="C33" s="24"/>
      <c r="D33" s="24"/>
      <c r="E33" s="24"/>
      <c r="F33" s="23">
        <f>F30+F31+F32</f>
        <v>5445.3549999999996</v>
      </c>
      <c r="G33" s="23">
        <f t="shared" ref="G33:J33" si="7">G30+G31+G32</f>
        <v>6114.6582499999968</v>
      </c>
      <c r="H33" s="23">
        <f t="shared" si="7"/>
        <v>6670.8569874999994</v>
      </c>
      <c r="I33" s="23">
        <f t="shared" si="7"/>
        <v>8021.4855356249973</v>
      </c>
      <c r="J33" s="23">
        <f t="shared" si="7"/>
        <v>9346.7083659687487</v>
      </c>
      <c r="K33" s="23">
        <f>J30*C14</f>
        <v>72693.66692774999</v>
      </c>
    </row>
    <row r="35" spans="2:11" ht="12" thickBot="1" x14ac:dyDescent="0.25">
      <c r="B35" s="9" t="s">
        <v>19</v>
      </c>
      <c r="C35" s="26">
        <f>XNPV(C13,F33:K33,F19:K19)</f>
        <v>78563.95111525325</v>
      </c>
      <c r="D35" s="24"/>
      <c r="E35" s="24"/>
    </row>
    <row r="38" spans="2:11" x14ac:dyDescent="0.2">
      <c r="B38" s="5" t="s">
        <v>28</v>
      </c>
      <c r="C38" s="11"/>
    </row>
    <row r="39" spans="2:11" x14ac:dyDescent="0.2">
      <c r="B39" s="15" t="s">
        <v>24</v>
      </c>
      <c r="C39" s="27">
        <f>C35</f>
        <v>78563.95111525325</v>
      </c>
    </row>
    <row r="40" spans="2:11" x14ac:dyDescent="0.2">
      <c r="B40" s="1" t="s">
        <v>25</v>
      </c>
      <c r="C40" s="18">
        <v>120</v>
      </c>
    </row>
    <row r="41" spans="2:11" x14ac:dyDescent="0.2">
      <c r="B41" s="1" t="s">
        <v>26</v>
      </c>
      <c r="C41" s="18">
        <v>400</v>
      </c>
    </row>
    <row r="42" spans="2:11" ht="12" thickBot="1" x14ac:dyDescent="0.25">
      <c r="B42" s="9" t="s">
        <v>27</v>
      </c>
      <c r="C42" s="26">
        <f>C39+C40-C41</f>
        <v>78283.95111525325</v>
      </c>
    </row>
    <row r="43" spans="2:11" x14ac:dyDescent="0.2">
      <c r="C43" s="18"/>
    </row>
    <row r="44" spans="2:11" ht="12" thickBot="1" x14ac:dyDescent="0.25">
      <c r="B44" s="16" t="s">
        <v>29</v>
      </c>
      <c r="C44" s="28">
        <f>C42/C15</f>
        <v>6.2627160892202598</v>
      </c>
    </row>
    <row r="45" spans="2:11" ht="12" thickTop="1" x14ac:dyDescent="0.2"/>
  </sheetData>
  <dataValidations count="1">
    <dataValidation type="list" allowBlank="1" showInputMessage="1" showErrorMessage="1" sqref="C7" xr:uid="{0C7B732A-E1C1-43A9-9FF8-0EDC216054AE}">
      <formula1>$E$9:$G$9</formula1>
    </dataValidation>
  </dataValidation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9" ma:contentTypeDescription="Create a new document." ma:contentTypeScope="" ma:versionID="d4a2f8d5e5e1ad6f795d3a50c68f86bb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7484d74eb0f40c905d1401d823830f0f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EECA83-63D8-4DBE-BAFE-C4AC65B3A7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76DB32-CD46-4211-B5DE-97E24AA04DBB}">
  <ds:schemaRefs>
    <ds:schemaRef ds:uri="7b38f2a3-aa4f-459a-96a7-609069baf883"/>
    <ds:schemaRef ds:uri="http://schemas.microsoft.com/office/2006/metadata/properties"/>
    <ds:schemaRef ds:uri="http://purl.org/dc/terms/"/>
    <ds:schemaRef ds:uri="http://schemas.openxmlformats.org/package/2006/metadata/core-properties"/>
    <ds:schemaRef ds:uri="210a6c26-33a8-4c30-9028-1a854218d472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0565C01-F14A-49BE-A678-1B5933462A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ScenarioAnalysis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Dobromir Dikov</cp:lastModifiedBy>
  <dcterms:created xsi:type="dcterms:W3CDTF">2019-11-09T09:11:16Z</dcterms:created>
  <dcterms:modified xsi:type="dcterms:W3CDTF">2019-11-19T05:11:21Z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